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ndo\Documents\Hivatalos\ENYP\NYP\NYP_kalkulátor\20241130_2025-tol_ervenyes\"/>
    </mc:Choice>
  </mc:AlternateContent>
  <xr:revisionPtr revIDLastSave="0" documentId="13_ncr:1_{AC70A2FE-72B8-4A2E-B599-93610C3A2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NYP kalkulátor" sheetId="1" r:id="rId1"/>
    <sheet name="CF" sheetId="2" r:id="rId2"/>
  </sheets>
  <definedNames>
    <definedName name="_xlnm.Print_Area" localSheetId="0">'ÖNYP kalkulátor'!$A$1:$I$78</definedName>
  </definedNames>
  <calcPr calcId="181029"/>
</workbook>
</file>

<file path=xl/calcChain.xml><?xml version="1.0" encoding="utf-8"?>
<calcChain xmlns="http://schemas.openxmlformats.org/spreadsheetml/2006/main">
  <c r="H75" i="1" l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C27" i="1" l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D15" i="1"/>
  <c r="C12" i="1"/>
  <c r="A2" i="2" s="1"/>
  <c r="M2" i="2"/>
  <c r="N2" i="2"/>
  <c r="F2" i="2"/>
  <c r="O2" i="2" l="1"/>
  <c r="P2" i="2" s="1"/>
  <c r="S2" i="2"/>
  <c r="C2" i="2"/>
  <c r="A3" i="2"/>
  <c r="D2" i="2"/>
  <c r="E3" i="2" s="1"/>
  <c r="T2" i="2"/>
  <c r="S3" i="2" l="1"/>
  <c r="D3" i="2"/>
  <c r="E4" i="2" s="1"/>
  <c r="Q2" i="2"/>
  <c r="U2" i="2" s="1"/>
  <c r="B3" i="2"/>
  <c r="C3" i="2"/>
  <c r="T3" i="2"/>
  <c r="L3" i="2"/>
  <c r="A4" i="2"/>
  <c r="S4" i="2" l="1"/>
  <c r="B4" i="2"/>
  <c r="L4" i="2"/>
  <c r="D4" i="2"/>
  <c r="E5" i="2" s="1"/>
  <c r="T4" i="2"/>
  <c r="C4" i="2"/>
  <c r="A5" i="2"/>
  <c r="N3" i="2"/>
  <c r="M3" i="2"/>
  <c r="V2" i="2"/>
  <c r="M4" i="2" l="1"/>
  <c r="O3" i="2"/>
  <c r="P3" i="2" s="1"/>
  <c r="N4" i="2"/>
  <c r="W2" i="2"/>
  <c r="F3" i="2"/>
  <c r="D5" i="2"/>
  <c r="E6" i="2" s="1"/>
  <c r="B5" i="2"/>
  <c r="L5" i="2"/>
  <c r="T5" i="2"/>
  <c r="C5" i="2"/>
  <c r="A6" i="2"/>
  <c r="N5" i="2" l="1"/>
  <c r="O4" i="2"/>
  <c r="P4" i="2" s="1"/>
  <c r="M5" i="2"/>
  <c r="T6" i="2"/>
  <c r="D6" i="2"/>
  <c r="E7" i="2" s="1"/>
  <c r="C6" i="2"/>
  <c r="L6" i="2"/>
  <c r="A7" i="2"/>
  <c r="B6" i="2"/>
  <c r="Q3" i="2" l="1"/>
  <c r="U3" i="2" s="1"/>
  <c r="S5" i="2"/>
  <c r="N6" i="2"/>
  <c r="D7" i="2"/>
  <c r="E8" i="2" s="1"/>
  <c r="C7" i="2"/>
  <c r="A8" i="2"/>
  <c r="B7" i="2"/>
  <c r="L7" i="2"/>
  <c r="T7" i="2"/>
  <c r="O5" i="2"/>
  <c r="P5" i="2" s="1"/>
  <c r="M6" i="2"/>
  <c r="V3" i="2" l="1"/>
  <c r="W3" i="2" s="1"/>
  <c r="Q4" i="2"/>
  <c r="S6" i="2"/>
  <c r="N7" i="2"/>
  <c r="M7" i="2"/>
  <c r="S7" i="2" s="1"/>
  <c r="D8" i="2"/>
  <c r="E9" i="2" s="1"/>
  <c r="T8" i="2"/>
  <c r="C8" i="2"/>
  <c r="B8" i="2"/>
  <c r="L8" i="2"/>
  <c r="A9" i="2"/>
  <c r="S9" i="2" s="1"/>
  <c r="O6" i="2"/>
  <c r="P6" i="2" s="1"/>
  <c r="N8" i="2" l="1"/>
  <c r="F4" i="2"/>
  <c r="U4" i="2" s="1"/>
  <c r="V4" i="2" s="1"/>
  <c r="Q5" i="2"/>
  <c r="M8" i="2"/>
  <c r="S8" i="2" s="1"/>
  <c r="O7" i="2"/>
  <c r="P7" i="2" s="1"/>
  <c r="L9" i="2"/>
  <c r="C9" i="2"/>
  <c r="T9" i="2"/>
  <c r="D9" i="2"/>
  <c r="E10" i="2" s="1"/>
  <c r="B9" i="2"/>
  <c r="A10" i="2"/>
  <c r="S10" i="2" s="1"/>
  <c r="N9" i="2" l="1"/>
  <c r="Q6" i="2"/>
  <c r="M9" i="2"/>
  <c r="O8" i="2"/>
  <c r="P8" i="2" s="1"/>
  <c r="C10" i="2"/>
  <c r="L10" i="2"/>
  <c r="B10" i="2"/>
  <c r="T10" i="2"/>
  <c r="A11" i="2"/>
  <c r="S11" i="2" s="1"/>
  <c r="D10" i="2"/>
  <c r="E11" i="2" s="1"/>
  <c r="W4" i="2"/>
  <c r="F5" i="2"/>
  <c r="N10" i="2" l="1"/>
  <c r="Q7" i="2"/>
  <c r="M10" i="2"/>
  <c r="U5" i="2"/>
  <c r="V5" i="2" s="1"/>
  <c r="C11" i="2"/>
  <c r="B11" i="2"/>
  <c r="L11" i="2"/>
  <c r="A12" i="2"/>
  <c r="S12" i="2" s="1"/>
  <c r="T11" i="2"/>
  <c r="D11" i="2"/>
  <c r="E12" i="2" s="1"/>
  <c r="O9" i="2"/>
  <c r="P9" i="2" s="1"/>
  <c r="N11" i="2" l="1"/>
  <c r="Q8" i="2"/>
  <c r="M11" i="2"/>
  <c r="F6" i="2"/>
  <c r="W5" i="2"/>
  <c r="O10" i="2"/>
  <c r="P10" i="2" s="1"/>
  <c r="T12" i="2"/>
  <c r="D12" i="2"/>
  <c r="E13" i="2" s="1"/>
  <c r="A13" i="2"/>
  <c r="S13" i="2" s="1"/>
  <c r="L12" i="2"/>
  <c r="B12" i="2"/>
  <c r="C12" i="2"/>
  <c r="N12" i="2" l="1"/>
  <c r="Q9" i="2"/>
  <c r="O11" i="2"/>
  <c r="P11" i="2" s="1"/>
  <c r="U6" i="2"/>
  <c r="V6" i="2" s="1"/>
  <c r="M12" i="2"/>
  <c r="A14" i="2"/>
  <c r="L13" i="2"/>
  <c r="T13" i="2"/>
  <c r="C13" i="2"/>
  <c r="B13" i="2"/>
  <c r="D13" i="2"/>
  <c r="E14" i="2" s="1"/>
  <c r="N13" i="2" l="1"/>
  <c r="Q10" i="2"/>
  <c r="M13" i="2"/>
  <c r="L14" i="2"/>
  <c r="D14" i="2"/>
  <c r="E15" i="2" s="1"/>
  <c r="C14" i="2"/>
  <c r="B14" i="2"/>
  <c r="A15" i="2"/>
  <c r="S15" i="2" s="1"/>
  <c r="T14" i="2"/>
  <c r="O12" i="2"/>
  <c r="P12" i="2" s="1"/>
  <c r="W6" i="2"/>
  <c r="F7" i="2"/>
  <c r="N14" i="2" l="1"/>
  <c r="Q11" i="2"/>
  <c r="O13" i="2"/>
  <c r="P13" i="2" s="1"/>
  <c r="M14" i="2"/>
  <c r="S14" i="2" s="1"/>
  <c r="B15" i="2"/>
  <c r="T15" i="2"/>
  <c r="A16" i="2"/>
  <c r="S16" i="2" s="1"/>
  <c r="D15" i="2"/>
  <c r="E16" i="2" s="1"/>
  <c r="C15" i="2"/>
  <c r="L15" i="2"/>
  <c r="U7" i="2"/>
  <c r="V7" i="2" s="1"/>
  <c r="N15" i="2" l="1"/>
  <c r="O14" i="2"/>
  <c r="P14" i="2" s="1"/>
  <c r="Q13" i="2"/>
  <c r="Q12" i="2"/>
  <c r="M15" i="2"/>
  <c r="T16" i="2"/>
  <c r="L16" i="2"/>
  <c r="N16" i="2" s="1"/>
  <c r="B16" i="2"/>
  <c r="D16" i="2"/>
  <c r="E17" i="2" s="1"/>
  <c r="A17" i="2"/>
  <c r="C16" i="2"/>
  <c r="F8" i="2"/>
  <c r="W7" i="2"/>
  <c r="Q14" i="2" l="1"/>
  <c r="M16" i="2"/>
  <c r="U8" i="2"/>
  <c r="V8" i="2" s="1"/>
  <c r="B17" i="2"/>
  <c r="A18" i="2"/>
  <c r="D17" i="2"/>
  <c r="E18" i="2" s="1"/>
  <c r="L17" i="2"/>
  <c r="N17" i="2" s="1"/>
  <c r="C17" i="2"/>
  <c r="T17" i="2"/>
  <c r="O15" i="2"/>
  <c r="P15" i="2" s="1"/>
  <c r="W8" i="2" l="1"/>
  <c r="F9" i="2"/>
  <c r="O16" i="2"/>
  <c r="P16" i="2" s="1"/>
  <c r="A19" i="2"/>
  <c r="L18" i="2"/>
  <c r="N18" i="2" s="1"/>
  <c r="D18" i="2"/>
  <c r="E19" i="2" s="1"/>
  <c r="T18" i="2"/>
  <c r="B18" i="2"/>
  <c r="C18" i="2"/>
  <c r="M17" i="2"/>
  <c r="S17" i="2" s="1"/>
  <c r="Q16" i="2" l="1"/>
  <c r="Q15" i="2"/>
  <c r="M18" i="2"/>
  <c r="S18" i="2" s="1"/>
  <c r="C19" i="2"/>
  <c r="T19" i="2"/>
  <c r="A20" i="2"/>
  <c r="B19" i="2"/>
  <c r="L19" i="2"/>
  <c r="N19" i="2" s="1"/>
  <c r="D19" i="2"/>
  <c r="E20" i="2" s="1"/>
  <c r="U9" i="2"/>
  <c r="V9" i="2" s="1"/>
  <c r="O17" i="2"/>
  <c r="P17" i="2" s="1"/>
  <c r="Q17" i="2" l="1"/>
  <c r="M19" i="2"/>
  <c r="S19" i="2" s="1"/>
  <c r="A21" i="2"/>
  <c r="S21" i="2" s="1"/>
  <c r="T20" i="2"/>
  <c r="C20" i="2"/>
  <c r="B20" i="2"/>
  <c r="L20" i="2"/>
  <c r="N20" i="2" s="1"/>
  <c r="D20" i="2"/>
  <c r="E21" i="2" s="1"/>
  <c r="W9" i="2"/>
  <c r="F10" i="2"/>
  <c r="O18" i="2"/>
  <c r="P18" i="2" s="1"/>
  <c r="M20" i="2" l="1"/>
  <c r="S20" i="2" s="1"/>
  <c r="U10" i="2"/>
  <c r="V10" i="2" s="1"/>
  <c r="Q18" i="2"/>
  <c r="O19" i="2"/>
  <c r="P19" i="2" s="1"/>
  <c r="L21" i="2"/>
  <c r="N21" i="2" s="1"/>
  <c r="B21" i="2"/>
  <c r="A22" i="2"/>
  <c r="S22" i="2" s="1"/>
  <c r="C21" i="2"/>
  <c r="D21" i="2"/>
  <c r="E22" i="2" s="1"/>
  <c r="T21" i="2"/>
  <c r="F11" i="2" l="1"/>
  <c r="W10" i="2"/>
  <c r="A23" i="2"/>
  <c r="S23" i="2" s="1"/>
  <c r="C22" i="2"/>
  <c r="D22" i="2"/>
  <c r="E23" i="2" s="1"/>
  <c r="T22" i="2"/>
  <c r="L22" i="2"/>
  <c r="N22" i="2" s="1"/>
  <c r="B22" i="2"/>
  <c r="M21" i="2"/>
  <c r="Q19" i="2"/>
  <c r="O20" i="2"/>
  <c r="P20" i="2" s="1"/>
  <c r="Q20" i="2" l="1"/>
  <c r="O21" i="2"/>
  <c r="P21" i="2" s="1"/>
  <c r="U11" i="2"/>
  <c r="V11" i="2" s="1"/>
  <c r="M22" i="2"/>
  <c r="B23" i="2"/>
  <c r="T23" i="2"/>
  <c r="C23" i="2"/>
  <c r="A24" i="2"/>
  <c r="S24" i="2" s="1"/>
  <c r="L23" i="2"/>
  <c r="N23" i="2" s="1"/>
  <c r="D23" i="2"/>
  <c r="E24" i="2" s="1"/>
  <c r="W11" i="2" l="1"/>
  <c r="F12" i="2"/>
  <c r="D24" i="2"/>
  <c r="E25" i="2" s="1"/>
  <c r="C24" i="2"/>
  <c r="B24" i="2"/>
  <c r="T24" i="2"/>
  <c r="L24" i="2"/>
  <c r="N24" i="2" s="1"/>
  <c r="A25" i="2"/>
  <c r="S25" i="2" s="1"/>
  <c r="Q21" i="2"/>
  <c r="O22" i="2"/>
  <c r="P22" i="2" s="1"/>
  <c r="M23" i="2"/>
  <c r="Q22" i="2" l="1"/>
  <c r="O23" i="2"/>
  <c r="P23" i="2" s="1"/>
  <c r="M24" i="2"/>
  <c r="C25" i="2"/>
  <c r="D25" i="2"/>
  <c r="E26" i="2" s="1"/>
  <c r="T25" i="2"/>
  <c r="B25" i="2"/>
  <c r="L25" i="2"/>
  <c r="N25" i="2" s="1"/>
  <c r="A26" i="2"/>
  <c r="U12" i="2"/>
  <c r="V12" i="2" s="1"/>
  <c r="W12" i="2" l="1"/>
  <c r="F13" i="2"/>
  <c r="Q23" i="2"/>
  <c r="O24" i="2"/>
  <c r="P24" i="2" s="1"/>
  <c r="B26" i="2"/>
  <c r="D26" i="2"/>
  <c r="E27" i="2" s="1"/>
  <c r="L26" i="2"/>
  <c r="N26" i="2" s="1"/>
  <c r="C26" i="2"/>
  <c r="T26" i="2"/>
  <c r="A27" i="2"/>
  <c r="S27" i="2" s="1"/>
  <c r="M25" i="2"/>
  <c r="Q24" i="2" l="1"/>
  <c r="U13" i="2"/>
  <c r="V13" i="2" s="1"/>
  <c r="M26" i="2"/>
  <c r="S26" i="2" s="1"/>
  <c r="O25" i="2"/>
  <c r="P25" i="2" s="1"/>
  <c r="A28" i="2"/>
  <c r="S28" i="2" s="1"/>
  <c r="D27" i="2"/>
  <c r="E28" i="2" s="1"/>
  <c r="T27" i="2"/>
  <c r="B27" i="2"/>
  <c r="C27" i="2"/>
  <c r="L27" i="2"/>
  <c r="N27" i="2" s="1"/>
  <c r="L28" i="2" l="1"/>
  <c r="N28" i="2" s="1"/>
  <c r="A29" i="2"/>
  <c r="C28" i="2"/>
  <c r="T28" i="2"/>
  <c r="B28" i="2"/>
  <c r="D28" i="2"/>
  <c r="E29" i="2" s="1"/>
  <c r="Q25" i="2"/>
  <c r="O26" i="2"/>
  <c r="P26" i="2" s="1"/>
  <c r="W13" i="2"/>
  <c r="F14" i="2"/>
  <c r="M27" i="2"/>
  <c r="M28" i="2" l="1"/>
  <c r="L29" i="2"/>
  <c r="C29" i="2"/>
  <c r="B29" i="2"/>
  <c r="D29" i="2"/>
  <c r="E30" i="2" s="1"/>
  <c r="A30" i="2"/>
  <c r="T29" i="2"/>
  <c r="U14" i="2"/>
  <c r="V14" i="2" s="1"/>
  <c r="Q26" i="2"/>
  <c r="O27" i="2"/>
  <c r="P27" i="2" s="1"/>
  <c r="M29" i="2" l="1"/>
  <c r="Q27" i="2"/>
  <c r="O28" i="2"/>
  <c r="P28" i="2" s="1"/>
  <c r="B30" i="2"/>
  <c r="D30" i="2"/>
  <c r="E31" i="2" s="1"/>
  <c r="L30" i="2"/>
  <c r="T30" i="2"/>
  <c r="C30" i="2"/>
  <c r="A31" i="2"/>
  <c r="F15" i="2"/>
  <c r="W14" i="2"/>
  <c r="N29" i="2"/>
  <c r="S29" i="2" l="1"/>
  <c r="M30" i="2"/>
  <c r="A32" i="2"/>
  <c r="C31" i="2"/>
  <c r="T31" i="2"/>
  <c r="D31" i="2"/>
  <c r="E32" i="2" s="1"/>
  <c r="B31" i="2"/>
  <c r="L31" i="2"/>
  <c r="U15" i="2"/>
  <c r="V15" i="2" s="1"/>
  <c r="N30" i="2"/>
  <c r="Q28" i="2"/>
  <c r="O29" i="2"/>
  <c r="P29" i="2" s="1"/>
  <c r="S30" i="2" l="1"/>
  <c r="M31" i="2"/>
  <c r="W15" i="2"/>
  <c r="F16" i="2"/>
  <c r="Q29" i="2"/>
  <c r="O30" i="2"/>
  <c r="P30" i="2" s="1"/>
  <c r="T32" i="2"/>
  <c r="C32" i="2"/>
  <c r="L32" i="2"/>
  <c r="D32" i="2"/>
  <c r="E33" i="2" s="1"/>
  <c r="A33" i="2"/>
  <c r="S33" i="2" s="1"/>
  <c r="B32" i="2"/>
  <c r="N31" i="2"/>
  <c r="S31" i="2" l="1"/>
  <c r="N32" i="2"/>
  <c r="M32" i="2"/>
  <c r="L33" i="2"/>
  <c r="B33" i="2"/>
  <c r="D33" i="2"/>
  <c r="E34" i="2" s="1"/>
  <c r="A34" i="2"/>
  <c r="S34" i="2" s="1"/>
  <c r="C33" i="2"/>
  <c r="T33" i="2"/>
  <c r="Q30" i="2"/>
  <c r="O31" i="2"/>
  <c r="P31" i="2" s="1"/>
  <c r="U16" i="2"/>
  <c r="V16" i="2" s="1"/>
  <c r="S32" i="2" l="1"/>
  <c r="M33" i="2"/>
  <c r="N33" i="2"/>
  <c r="T34" i="2"/>
  <c r="L34" i="2"/>
  <c r="A35" i="2"/>
  <c r="S35" i="2" s="1"/>
  <c r="C34" i="2"/>
  <c r="D34" i="2"/>
  <c r="E35" i="2" s="1"/>
  <c r="B34" i="2"/>
  <c r="W16" i="2"/>
  <c r="F17" i="2"/>
  <c r="Q31" i="2"/>
  <c r="O32" i="2"/>
  <c r="P32" i="2" s="1"/>
  <c r="M34" i="2" l="1"/>
  <c r="N34" i="2"/>
  <c r="Q32" i="2"/>
  <c r="O33" i="2"/>
  <c r="P33" i="2" s="1"/>
  <c r="U17" i="2"/>
  <c r="V17" i="2" s="1"/>
  <c r="C35" i="2"/>
  <c r="L35" i="2"/>
  <c r="T35" i="2"/>
  <c r="B35" i="2"/>
  <c r="A36" i="2"/>
  <c r="S36" i="2" s="1"/>
  <c r="D35" i="2"/>
  <c r="E36" i="2" s="1"/>
  <c r="N35" i="2" l="1"/>
  <c r="M35" i="2"/>
  <c r="Q33" i="2"/>
  <c r="O34" i="2"/>
  <c r="P34" i="2" s="1"/>
  <c r="F18" i="2"/>
  <c r="W17" i="2"/>
  <c r="T36" i="2"/>
  <c r="D36" i="2"/>
  <c r="E37" i="2" s="1"/>
  <c r="L36" i="2"/>
  <c r="A37" i="2"/>
  <c r="S37" i="2" s="1"/>
  <c r="B36" i="2"/>
  <c r="C36" i="2"/>
  <c r="N36" i="2" l="1"/>
  <c r="C37" i="2"/>
  <c r="B37" i="2"/>
  <c r="L37" i="2"/>
  <c r="A38" i="2"/>
  <c r="T37" i="2"/>
  <c r="D37" i="2"/>
  <c r="E38" i="2" s="1"/>
  <c r="Q34" i="2"/>
  <c r="O35" i="2"/>
  <c r="P35" i="2" s="1"/>
  <c r="M36" i="2"/>
  <c r="U18" i="2"/>
  <c r="V18" i="2" s="1"/>
  <c r="N37" i="2" l="1"/>
  <c r="M37" i="2"/>
  <c r="W18" i="2"/>
  <c r="F19" i="2"/>
  <c r="T38" i="2"/>
  <c r="L38" i="2"/>
  <c r="C38" i="2"/>
  <c r="A39" i="2"/>
  <c r="S39" i="2" s="1"/>
  <c r="B38" i="2"/>
  <c r="D38" i="2"/>
  <c r="E39" i="2" s="1"/>
  <c r="Q35" i="2"/>
  <c r="O36" i="2"/>
  <c r="P36" i="2" s="1"/>
  <c r="N38" i="2" l="1"/>
  <c r="O37" i="2"/>
  <c r="P37" i="2" s="1"/>
  <c r="Q36" i="2"/>
  <c r="M38" i="2"/>
  <c r="S38" i="2" s="1"/>
  <c r="U19" i="2"/>
  <c r="V19" i="2" s="1"/>
  <c r="C39" i="2"/>
  <c r="D39" i="2"/>
  <c r="E40" i="2" s="1"/>
  <c r="T39" i="2"/>
  <c r="A40" i="2"/>
  <c r="S40" i="2" s="1"/>
  <c r="B39" i="2"/>
  <c r="L39" i="2"/>
  <c r="Q37" i="2" l="1"/>
  <c r="N39" i="2"/>
  <c r="O38" i="2"/>
  <c r="P38" i="2" s="1"/>
  <c r="W19" i="2"/>
  <c r="F20" i="2"/>
  <c r="B40" i="2"/>
  <c r="T40" i="2"/>
  <c r="D40" i="2"/>
  <c r="E41" i="2" s="1"/>
  <c r="L40" i="2"/>
  <c r="C40" i="2"/>
  <c r="A41" i="2"/>
  <c r="M39" i="2"/>
  <c r="Q38" i="2" l="1"/>
  <c r="N40" i="2"/>
  <c r="L41" i="2"/>
  <c r="B41" i="2"/>
  <c r="A42" i="2"/>
  <c r="T41" i="2"/>
  <c r="C41" i="2"/>
  <c r="D41" i="2"/>
  <c r="E42" i="2" s="1"/>
  <c r="U20" i="2"/>
  <c r="V20" i="2" s="1"/>
  <c r="M40" i="2"/>
  <c r="O39" i="2"/>
  <c r="P39" i="2" s="1"/>
  <c r="N41" i="2" l="1"/>
  <c r="W20" i="2"/>
  <c r="F21" i="2"/>
  <c r="Q39" i="2"/>
  <c r="O40" i="2"/>
  <c r="P40" i="2" s="1"/>
  <c r="L42" i="2"/>
  <c r="A43" i="2"/>
  <c r="B42" i="2"/>
  <c r="C42" i="2"/>
  <c r="T42" i="2"/>
  <c r="D42" i="2"/>
  <c r="E43" i="2" s="1"/>
  <c r="M41" i="2"/>
  <c r="S41" i="2" l="1"/>
  <c r="N42" i="2"/>
  <c r="Q40" i="2"/>
  <c r="O41" i="2"/>
  <c r="P41" i="2" s="1"/>
  <c r="U21" i="2"/>
  <c r="V21" i="2" s="1"/>
  <c r="M42" i="2"/>
  <c r="S42" i="2" s="1"/>
  <c r="C43" i="2"/>
  <c r="A44" i="2"/>
  <c r="B43" i="2"/>
  <c r="L43" i="2"/>
  <c r="N43" i="2" s="1"/>
  <c r="D43" i="2"/>
  <c r="E44" i="2" s="1"/>
  <c r="T43" i="2"/>
  <c r="M43" i="2" l="1"/>
  <c r="S43" i="2" s="1"/>
  <c r="Q41" i="2"/>
  <c r="O42" i="2"/>
  <c r="P42" i="2" s="1"/>
  <c r="B44" i="2"/>
  <c r="C44" i="2"/>
  <c r="L44" i="2"/>
  <c r="N44" i="2" s="1"/>
  <c r="T44" i="2"/>
  <c r="A45" i="2"/>
  <c r="S45" i="2" s="1"/>
  <c r="D44" i="2"/>
  <c r="E45" i="2" s="1"/>
  <c r="F22" i="2"/>
  <c r="W21" i="2"/>
  <c r="M44" i="2" l="1"/>
  <c r="S44" i="2" s="1"/>
  <c r="Q42" i="2"/>
  <c r="O43" i="2"/>
  <c r="P43" i="2" s="1"/>
  <c r="U22" i="2"/>
  <c r="V22" i="2" s="1"/>
  <c r="D45" i="2"/>
  <c r="E46" i="2" s="1"/>
  <c r="L45" i="2"/>
  <c r="C45" i="2"/>
  <c r="A46" i="2"/>
  <c r="S46" i="2" s="1"/>
  <c r="T45" i="2"/>
  <c r="B45" i="2"/>
  <c r="M45" i="2" l="1"/>
  <c r="N45" i="2"/>
  <c r="W22" i="2"/>
  <c r="F23" i="2"/>
  <c r="T46" i="2"/>
  <c r="L46" i="2"/>
  <c r="A47" i="2"/>
  <c r="S47" i="2" s="1"/>
  <c r="D46" i="2"/>
  <c r="E47" i="2" s="1"/>
  <c r="B46" i="2"/>
  <c r="C46" i="2"/>
  <c r="Q43" i="2"/>
  <c r="O44" i="2"/>
  <c r="P44" i="2" s="1"/>
  <c r="M46" i="2" l="1"/>
  <c r="N46" i="2"/>
  <c r="Q44" i="2"/>
  <c r="O45" i="2"/>
  <c r="P45" i="2" s="1"/>
  <c r="T47" i="2"/>
  <c r="B47" i="2"/>
  <c r="C47" i="2"/>
  <c r="D47" i="2"/>
  <c r="E48" i="2" s="1"/>
  <c r="A48" i="2"/>
  <c r="S48" i="2" s="1"/>
  <c r="L47" i="2"/>
  <c r="U23" i="2"/>
  <c r="V23" i="2" s="1"/>
  <c r="M47" i="2" l="1"/>
  <c r="N47" i="2"/>
  <c r="W23" i="2"/>
  <c r="F24" i="2"/>
  <c r="B48" i="2"/>
  <c r="C48" i="2"/>
  <c r="T48" i="2"/>
  <c r="D48" i="2"/>
  <c r="E49" i="2" s="1"/>
  <c r="L48" i="2"/>
  <c r="A49" i="2"/>
  <c r="S49" i="2" s="1"/>
  <c r="Q45" i="2"/>
  <c r="O46" i="2"/>
  <c r="P46" i="2" s="1"/>
  <c r="N48" i="2" l="1"/>
  <c r="D49" i="2"/>
  <c r="E50" i="2" s="1"/>
  <c r="T49" i="2"/>
  <c r="C49" i="2"/>
  <c r="L49" i="2"/>
  <c r="B49" i="2"/>
  <c r="A50" i="2"/>
  <c r="M48" i="2"/>
  <c r="Q46" i="2"/>
  <c r="O47" i="2"/>
  <c r="P47" i="2" s="1"/>
  <c r="U24" i="2"/>
  <c r="V24" i="2" s="1"/>
  <c r="N49" i="2" l="1"/>
  <c r="M49" i="2"/>
  <c r="W24" i="2"/>
  <c r="F25" i="2"/>
  <c r="Q47" i="2"/>
  <c r="O48" i="2"/>
  <c r="P48" i="2" s="1"/>
  <c r="D50" i="2"/>
  <c r="E51" i="2" s="1"/>
  <c r="L50" i="2"/>
  <c r="C50" i="2"/>
  <c r="A51" i="2"/>
  <c r="S51" i="2" s="1"/>
  <c r="T50" i="2"/>
  <c r="B50" i="2"/>
  <c r="O49" i="2" l="1"/>
  <c r="P49" i="2" s="1"/>
  <c r="M50" i="2"/>
  <c r="D51" i="2"/>
  <c r="E52" i="2" s="1"/>
  <c r="T51" i="2"/>
  <c r="A52" i="2"/>
  <c r="S52" i="2" s="1"/>
  <c r="L51" i="2"/>
  <c r="B51" i="2"/>
  <c r="C51" i="2"/>
  <c r="Q48" i="2"/>
  <c r="N50" i="2"/>
  <c r="U25" i="2"/>
  <c r="V25" i="2" s="1"/>
  <c r="S50" i="2" l="1"/>
  <c r="M51" i="2"/>
  <c r="Q49" i="2"/>
  <c r="N51" i="2"/>
  <c r="F26" i="2"/>
  <c r="W25" i="2"/>
  <c r="O50" i="2"/>
  <c r="P50" i="2" s="1"/>
  <c r="B52" i="2"/>
  <c r="A53" i="2"/>
  <c r="T52" i="2"/>
  <c r="D52" i="2"/>
  <c r="E53" i="2" s="1"/>
  <c r="L52" i="2"/>
  <c r="C52" i="2"/>
  <c r="M52" i="2" l="1"/>
  <c r="Q50" i="2"/>
  <c r="O51" i="2"/>
  <c r="P51" i="2" s="1"/>
  <c r="U26" i="2"/>
  <c r="V26" i="2" s="1"/>
  <c r="A54" i="2"/>
  <c r="D53" i="2"/>
  <c r="E54" i="2" s="1"/>
  <c r="C53" i="2"/>
  <c r="L53" i="2"/>
  <c r="T53" i="2"/>
  <c r="B53" i="2"/>
  <c r="N52" i="2"/>
  <c r="M53" i="2" l="1"/>
  <c r="N53" i="2"/>
  <c r="S53" i="2" s="1"/>
  <c r="D54" i="2"/>
  <c r="E55" i="2" s="1"/>
  <c r="B54" i="2"/>
  <c r="T54" i="2"/>
  <c r="A55" i="2"/>
  <c r="C54" i="2"/>
  <c r="L54" i="2"/>
  <c r="F27" i="2"/>
  <c r="W26" i="2"/>
  <c r="Q51" i="2"/>
  <c r="O52" i="2"/>
  <c r="P52" i="2" s="1"/>
  <c r="M54" i="2" l="1"/>
  <c r="Q52" i="2"/>
  <c r="O53" i="2"/>
  <c r="P53" i="2" s="1"/>
  <c r="U27" i="2"/>
  <c r="V27" i="2" s="1"/>
  <c r="N54" i="2"/>
  <c r="S54" i="2" s="1"/>
  <c r="L55" i="2"/>
  <c r="M55" i="2" s="1"/>
  <c r="C55" i="2"/>
  <c r="T55" i="2"/>
  <c r="D55" i="2"/>
  <c r="E56" i="2" s="1"/>
  <c r="B55" i="2"/>
  <c r="A56" i="2"/>
  <c r="N55" i="2" l="1"/>
  <c r="S55" i="2" s="1"/>
  <c r="W27" i="2"/>
  <c r="F28" i="2"/>
  <c r="Q53" i="2"/>
  <c r="O54" i="2"/>
  <c r="P54" i="2" s="1"/>
  <c r="C56" i="2"/>
  <c r="B56" i="2"/>
  <c r="A57" i="2"/>
  <c r="S57" i="2" s="1"/>
  <c r="D56" i="2"/>
  <c r="E57" i="2" s="1"/>
  <c r="L56" i="2"/>
  <c r="M56" i="2" s="1"/>
  <c r="T56" i="2"/>
  <c r="N56" i="2" l="1"/>
  <c r="S56" i="2" s="1"/>
  <c r="Q54" i="2"/>
  <c r="O55" i="2"/>
  <c r="P55" i="2" s="1"/>
  <c r="D57" i="2"/>
  <c r="E58" i="2" s="1"/>
  <c r="T57" i="2"/>
  <c r="B57" i="2"/>
  <c r="C57" i="2"/>
  <c r="A58" i="2"/>
  <c r="S58" i="2" s="1"/>
  <c r="L57" i="2"/>
  <c r="M57" i="2" s="1"/>
  <c r="U28" i="2"/>
  <c r="V28" i="2" s="1"/>
  <c r="F29" i="2" l="1"/>
  <c r="W28" i="2"/>
  <c r="C58" i="2"/>
  <c r="D58" i="2"/>
  <c r="E59" i="2" s="1"/>
  <c r="B58" i="2"/>
  <c r="L58" i="2"/>
  <c r="M58" i="2" s="1"/>
  <c r="T58" i="2"/>
  <c r="A59" i="2"/>
  <c r="S59" i="2" s="1"/>
  <c r="Q55" i="2"/>
  <c r="O56" i="2"/>
  <c r="P56" i="2" s="1"/>
  <c r="N57" i="2"/>
  <c r="N58" i="2" l="1"/>
  <c r="Q56" i="2"/>
  <c r="O57" i="2"/>
  <c r="P57" i="2" s="1"/>
  <c r="U29" i="2"/>
  <c r="V29" i="2" s="1"/>
  <c r="T59" i="2"/>
  <c r="D59" i="2"/>
  <c r="E60" i="2" s="1"/>
  <c r="A60" i="2"/>
  <c r="S60" i="2" s="1"/>
  <c r="L59" i="2"/>
  <c r="M59" i="2" s="1"/>
  <c r="B59" i="2"/>
  <c r="C59" i="2"/>
  <c r="N59" i="2" l="1"/>
  <c r="A61" i="2"/>
  <c r="S61" i="2" s="1"/>
  <c r="C60" i="2"/>
  <c r="T60" i="2"/>
  <c r="L60" i="2"/>
  <c r="M60" i="2" s="1"/>
  <c r="B60" i="2"/>
  <c r="D60" i="2"/>
  <c r="E61" i="2" s="1"/>
  <c r="W29" i="2"/>
  <c r="F30" i="2"/>
  <c r="Q57" i="2"/>
  <c r="O58" i="2"/>
  <c r="P58" i="2" s="1"/>
  <c r="N60" i="2" l="1"/>
  <c r="U30" i="2"/>
  <c r="V30" i="2" s="1"/>
  <c r="Q58" i="2"/>
  <c r="O59" i="2"/>
  <c r="P59" i="2" s="1"/>
  <c r="A62" i="2"/>
  <c r="D61" i="2"/>
  <c r="E62" i="2" s="1"/>
  <c r="C61" i="2"/>
  <c r="L61" i="2"/>
  <c r="M61" i="2" s="1"/>
  <c r="T61" i="2"/>
  <c r="B61" i="2"/>
  <c r="N61" i="2" l="1"/>
  <c r="W30" i="2"/>
  <c r="F31" i="2"/>
  <c r="A63" i="2"/>
  <c r="S63" i="2" s="1"/>
  <c r="C62" i="2"/>
  <c r="D62" i="2"/>
  <c r="E63" i="2" s="1"/>
  <c r="T62" i="2"/>
  <c r="B62" i="2"/>
  <c r="L62" i="2"/>
  <c r="M62" i="2" s="1"/>
  <c r="Q59" i="2"/>
  <c r="O60" i="2"/>
  <c r="P60" i="2" s="1"/>
  <c r="O61" i="2" l="1"/>
  <c r="P61" i="2" s="1"/>
  <c r="Q60" i="2"/>
  <c r="N62" i="2"/>
  <c r="S62" i="2" s="1"/>
  <c r="C63" i="2"/>
  <c r="D63" i="2"/>
  <c r="E64" i="2" s="1"/>
  <c r="T63" i="2"/>
  <c r="A64" i="2"/>
  <c r="S64" i="2" s="1"/>
  <c r="B63" i="2"/>
  <c r="L63" i="2"/>
  <c r="U31" i="2"/>
  <c r="V31" i="2" s="1"/>
  <c r="O62" i="2" l="1"/>
  <c r="Q61" i="2"/>
  <c r="N63" i="2"/>
  <c r="F32" i="2"/>
  <c r="W31" i="2"/>
  <c r="A65" i="2"/>
  <c r="C64" i="2"/>
  <c r="L64" i="2"/>
  <c r="B64" i="2"/>
  <c r="D64" i="2"/>
  <c r="E65" i="2" s="1"/>
  <c r="T64" i="2"/>
  <c r="M63" i="2"/>
  <c r="P62" i="2" l="1"/>
  <c r="Q62" i="2" s="1"/>
  <c r="O63" i="2"/>
  <c r="P63" i="2" s="1"/>
  <c r="N64" i="2"/>
  <c r="U32" i="2"/>
  <c r="V32" i="2" s="1"/>
  <c r="M64" i="2"/>
  <c r="L65" i="2"/>
  <c r="T65" i="2"/>
  <c r="D65" i="2"/>
  <c r="E66" i="2" s="1"/>
  <c r="A66" i="2"/>
  <c r="C65" i="2"/>
  <c r="B65" i="2"/>
  <c r="Q63" i="2" l="1"/>
  <c r="N65" i="2"/>
  <c r="L66" i="2"/>
  <c r="B66" i="2"/>
  <c r="C66" i="2"/>
  <c r="D66" i="2"/>
  <c r="E67" i="2" s="1"/>
  <c r="A67" i="2"/>
  <c r="T66" i="2"/>
  <c r="W32" i="2"/>
  <c r="F33" i="2"/>
  <c r="M65" i="2"/>
  <c r="O64" i="2"/>
  <c r="P64" i="2" s="1"/>
  <c r="S65" i="2" l="1"/>
  <c r="N66" i="2"/>
  <c r="Q64" i="2"/>
  <c r="O65" i="2"/>
  <c r="P65" i="2" s="1"/>
  <c r="M66" i="2"/>
  <c r="U33" i="2"/>
  <c r="V33" i="2" s="1"/>
  <c r="B67" i="2"/>
  <c r="L67" i="2"/>
  <c r="T67" i="2"/>
  <c r="A68" i="2"/>
  <c r="C67" i="2"/>
  <c r="D67" i="2"/>
  <c r="E68" i="2" s="1"/>
  <c r="S66" i="2" l="1"/>
  <c r="N67" i="2"/>
  <c r="F34" i="2"/>
  <c r="W33" i="2"/>
  <c r="Q65" i="2"/>
  <c r="O66" i="2"/>
  <c r="P66" i="2" s="1"/>
  <c r="A69" i="2"/>
  <c r="S69" i="2" s="1"/>
  <c r="L68" i="2"/>
  <c r="C68" i="2"/>
  <c r="D68" i="2"/>
  <c r="E69" i="2" s="1"/>
  <c r="T68" i="2"/>
  <c r="B68" i="2"/>
  <c r="M67" i="2"/>
  <c r="S67" i="2" l="1"/>
  <c r="N68" i="2"/>
  <c r="U34" i="2"/>
  <c r="V34" i="2" s="1"/>
  <c r="Q66" i="2"/>
  <c r="O67" i="2"/>
  <c r="P67" i="2" s="1"/>
  <c r="M68" i="2"/>
  <c r="S68" i="2" s="1"/>
  <c r="B69" i="2"/>
  <c r="C69" i="2"/>
  <c r="T69" i="2"/>
  <c r="L69" i="2"/>
  <c r="N69" i="2" s="1"/>
  <c r="A70" i="2"/>
  <c r="S70" i="2" s="1"/>
  <c r="D69" i="2"/>
  <c r="E70" i="2" s="1"/>
  <c r="W34" i="2" l="1"/>
  <c r="F35" i="2"/>
  <c r="A71" i="2"/>
  <c r="S71" i="2" s="1"/>
  <c r="B70" i="2"/>
  <c r="D70" i="2"/>
  <c r="E71" i="2" s="1"/>
  <c r="T70" i="2"/>
  <c r="C70" i="2"/>
  <c r="L70" i="2"/>
  <c r="N70" i="2" s="1"/>
  <c r="M69" i="2"/>
  <c r="Q67" i="2"/>
  <c r="O68" i="2"/>
  <c r="P68" i="2" s="1"/>
  <c r="D71" i="2" l="1"/>
  <c r="E72" i="2" s="1"/>
  <c r="A72" i="2"/>
  <c r="S72" i="2" s="1"/>
  <c r="C71" i="2"/>
  <c r="L71" i="2"/>
  <c r="N71" i="2" s="1"/>
  <c r="B71" i="2"/>
  <c r="T71" i="2"/>
  <c r="Q68" i="2"/>
  <c r="O69" i="2"/>
  <c r="P69" i="2" s="1"/>
  <c r="U35" i="2"/>
  <c r="V35" i="2" s="1"/>
  <c r="M70" i="2"/>
  <c r="M71" i="2" l="1"/>
  <c r="F36" i="2"/>
  <c r="W35" i="2"/>
  <c r="Q69" i="2"/>
  <c r="O70" i="2"/>
  <c r="P70" i="2" s="1"/>
  <c r="C72" i="2"/>
  <c r="B72" i="2"/>
  <c r="T72" i="2"/>
  <c r="L72" i="2"/>
  <c r="D72" i="2"/>
  <c r="E73" i="2" s="1"/>
  <c r="A73" i="2"/>
  <c r="S73" i="2" s="1"/>
  <c r="M72" i="2" l="1"/>
  <c r="N72" i="2"/>
  <c r="L73" i="2"/>
  <c r="T73" i="2"/>
  <c r="A74" i="2"/>
  <c r="D73" i="2"/>
  <c r="E74" i="2" s="1"/>
  <c r="C73" i="2"/>
  <c r="B73" i="2"/>
  <c r="Q70" i="2"/>
  <c r="O71" i="2"/>
  <c r="P71" i="2" s="1"/>
  <c r="U36" i="2"/>
  <c r="V36" i="2" s="1"/>
  <c r="N73" i="2" l="1"/>
  <c r="M73" i="2"/>
  <c r="W36" i="2"/>
  <c r="F37" i="2"/>
  <c r="Q71" i="2"/>
  <c r="O72" i="2"/>
  <c r="P72" i="2" s="1"/>
  <c r="L74" i="2"/>
  <c r="T74" i="2"/>
  <c r="C74" i="2"/>
  <c r="B74" i="2"/>
  <c r="A75" i="2"/>
  <c r="S75" i="2" s="1"/>
  <c r="D74" i="2"/>
  <c r="E75" i="2" s="1"/>
  <c r="Q72" i="2" l="1"/>
  <c r="N74" i="2"/>
  <c r="B75" i="2"/>
  <c r="D75" i="2"/>
  <c r="E76" i="2" s="1"/>
  <c r="A76" i="2"/>
  <c r="S76" i="2" s="1"/>
  <c r="C75" i="2"/>
  <c r="L75" i="2"/>
  <c r="T75" i="2"/>
  <c r="U37" i="2"/>
  <c r="V37" i="2" s="1"/>
  <c r="M74" i="2"/>
  <c r="S74" i="2" s="1"/>
  <c r="O73" i="2"/>
  <c r="P73" i="2" s="1"/>
  <c r="N75" i="2" l="1"/>
  <c r="Q73" i="2"/>
  <c r="O74" i="2"/>
  <c r="P74" i="2" s="1"/>
  <c r="M75" i="2"/>
  <c r="F38" i="2"/>
  <c r="C30" i="1"/>
  <c r="W37" i="2"/>
  <c r="C76" i="2"/>
  <c r="D76" i="2"/>
  <c r="E77" i="2" s="1"/>
  <c r="A77" i="2"/>
  <c r="L76" i="2"/>
  <c r="T76" i="2"/>
  <c r="B76" i="2"/>
  <c r="N76" i="2" l="1"/>
  <c r="Q74" i="2"/>
  <c r="O75" i="2"/>
  <c r="P75" i="2" s="1"/>
  <c r="U38" i="2"/>
  <c r="V38" i="2" s="1"/>
  <c r="M76" i="2"/>
  <c r="D77" i="2"/>
  <c r="E78" i="2" s="1"/>
  <c r="T77" i="2"/>
  <c r="B77" i="2"/>
  <c r="C77" i="2"/>
  <c r="L77" i="2"/>
  <c r="A78" i="2"/>
  <c r="N77" i="2" l="1"/>
  <c r="F39" i="2"/>
  <c r="W38" i="2"/>
  <c r="A79" i="2"/>
  <c r="L78" i="2"/>
  <c r="N78" i="2" s="1"/>
  <c r="C78" i="2"/>
  <c r="D78" i="2"/>
  <c r="E79" i="2" s="1"/>
  <c r="T78" i="2"/>
  <c r="B78" i="2"/>
  <c r="Q75" i="2"/>
  <c r="O76" i="2"/>
  <c r="P76" i="2" s="1"/>
  <c r="M77" i="2"/>
  <c r="S77" i="2" l="1"/>
  <c r="B79" i="2"/>
  <c r="D79" i="2"/>
  <c r="E80" i="2" s="1"/>
  <c r="A80" i="2"/>
  <c r="T79" i="2"/>
  <c r="C79" i="2"/>
  <c r="L79" i="2"/>
  <c r="N79" i="2" s="1"/>
  <c r="M78" i="2"/>
  <c r="S78" i="2" s="1"/>
  <c r="Q76" i="2"/>
  <c r="O77" i="2"/>
  <c r="P77" i="2" s="1"/>
  <c r="U39" i="2"/>
  <c r="V39" i="2" s="1"/>
  <c r="Q77" i="2" l="1"/>
  <c r="O78" i="2"/>
  <c r="P78" i="2" s="1"/>
  <c r="B80" i="2"/>
  <c r="D80" i="2"/>
  <c r="E81" i="2" s="1"/>
  <c r="A81" i="2"/>
  <c r="S81" i="2" s="1"/>
  <c r="C80" i="2"/>
  <c r="T80" i="2"/>
  <c r="L80" i="2"/>
  <c r="N80" i="2" s="1"/>
  <c r="M79" i="2"/>
  <c r="S79" i="2" s="1"/>
  <c r="W39" i="2"/>
  <c r="F40" i="2"/>
  <c r="M80" i="2" l="1"/>
  <c r="S80" i="2" s="1"/>
  <c r="U40" i="2"/>
  <c r="V40" i="2" s="1"/>
  <c r="Q78" i="2"/>
  <c r="O79" i="2"/>
  <c r="P79" i="2" s="1"/>
  <c r="A82" i="2"/>
  <c r="S82" i="2" s="1"/>
  <c r="B81" i="2"/>
  <c r="C81" i="2"/>
  <c r="D81" i="2"/>
  <c r="E82" i="2" s="1"/>
  <c r="T81" i="2"/>
  <c r="L81" i="2"/>
  <c r="M81" i="2" l="1"/>
  <c r="N81" i="2"/>
  <c r="W40" i="2"/>
  <c r="F41" i="2"/>
  <c r="Q79" i="2"/>
  <c r="O80" i="2"/>
  <c r="P80" i="2" s="1"/>
  <c r="B82" i="2"/>
  <c r="A83" i="2"/>
  <c r="S83" i="2" s="1"/>
  <c r="C82" i="2"/>
  <c r="T82" i="2"/>
  <c r="L82" i="2"/>
  <c r="D82" i="2"/>
  <c r="E83" i="2" s="1"/>
  <c r="N82" i="2" l="1"/>
  <c r="M82" i="2"/>
  <c r="L83" i="2"/>
  <c r="C83" i="2"/>
  <c r="B83" i="2"/>
  <c r="A84" i="2"/>
  <c r="S84" i="2" s="1"/>
  <c r="T83" i="2"/>
  <c r="D83" i="2"/>
  <c r="E84" i="2" s="1"/>
  <c r="U41" i="2"/>
  <c r="V41" i="2" s="1"/>
  <c r="Q80" i="2"/>
  <c r="O81" i="2"/>
  <c r="P81" i="2" s="1"/>
  <c r="N83" i="2" l="1"/>
  <c r="Q81" i="2"/>
  <c r="O82" i="2"/>
  <c r="P82" i="2" s="1"/>
  <c r="M83" i="2"/>
  <c r="A85" i="2"/>
  <c r="S85" i="2" s="1"/>
  <c r="T84" i="2"/>
  <c r="C84" i="2"/>
  <c r="L84" i="2"/>
  <c r="B84" i="2"/>
  <c r="D84" i="2"/>
  <c r="E85" i="2" s="1"/>
  <c r="W41" i="2"/>
  <c r="F42" i="2"/>
  <c r="N84" i="2" l="1"/>
  <c r="U42" i="2"/>
  <c r="V42" i="2" s="1"/>
  <c r="Q82" i="2"/>
  <c r="O83" i="2"/>
  <c r="P83" i="2" s="1"/>
  <c r="B85" i="2"/>
  <c r="C85" i="2"/>
  <c r="L85" i="2"/>
  <c r="D85" i="2"/>
  <c r="E86" i="2" s="1"/>
  <c r="A86" i="2"/>
  <c r="T85" i="2"/>
  <c r="M84" i="2"/>
  <c r="N85" i="2" l="1"/>
  <c r="F43" i="2"/>
  <c r="W42" i="2"/>
  <c r="Q83" i="2"/>
  <c r="O84" i="2"/>
  <c r="P84" i="2" s="1"/>
  <c r="M85" i="2"/>
  <c r="L86" i="2"/>
  <c r="B86" i="2"/>
  <c r="A87" i="2"/>
  <c r="S87" i="2" s="1"/>
  <c r="T86" i="2"/>
  <c r="C86" i="2"/>
  <c r="D86" i="2"/>
  <c r="E87" i="2" s="1"/>
  <c r="N86" i="2" l="1"/>
  <c r="Q84" i="2"/>
  <c r="M86" i="2"/>
  <c r="S86" i="2" s="1"/>
  <c r="O85" i="2"/>
  <c r="P85" i="2" s="1"/>
  <c r="B87" i="2"/>
  <c r="D87" i="2"/>
  <c r="E88" i="2" s="1"/>
  <c r="A88" i="2"/>
  <c r="S88" i="2" s="1"/>
  <c r="L87" i="2"/>
  <c r="T87" i="2"/>
  <c r="C87" i="2"/>
  <c r="U43" i="2"/>
  <c r="V43" i="2" s="1"/>
  <c r="N87" i="2" l="1"/>
  <c r="M87" i="2"/>
  <c r="F44" i="2"/>
  <c r="W43" i="2"/>
  <c r="T88" i="2"/>
  <c r="L88" i="2"/>
  <c r="B88" i="2"/>
  <c r="D88" i="2"/>
  <c r="E89" i="2" s="1"/>
  <c r="C88" i="2"/>
  <c r="A89" i="2"/>
  <c r="Q85" i="2"/>
  <c r="O86" i="2"/>
  <c r="P86" i="2" s="1"/>
  <c r="N88" i="2" l="1"/>
  <c r="M88" i="2"/>
  <c r="U44" i="2"/>
  <c r="V44" i="2" s="1"/>
  <c r="Q86" i="2"/>
  <c r="O87" i="2"/>
  <c r="P87" i="2" s="1"/>
  <c r="T89" i="2"/>
  <c r="A90" i="2"/>
  <c r="C89" i="2"/>
  <c r="B89" i="2"/>
  <c r="L89" i="2"/>
  <c r="D89" i="2"/>
  <c r="E90" i="2" s="1"/>
  <c r="N89" i="2" l="1"/>
  <c r="W44" i="2"/>
  <c r="F45" i="2"/>
  <c r="Q87" i="2"/>
  <c r="O88" i="2"/>
  <c r="P88" i="2" s="1"/>
  <c r="T90" i="2"/>
  <c r="D90" i="2"/>
  <c r="E91" i="2" s="1"/>
  <c r="C90" i="2"/>
  <c r="A91" i="2"/>
  <c r="B90" i="2"/>
  <c r="L90" i="2"/>
  <c r="M89" i="2"/>
  <c r="S89" i="2" l="1"/>
  <c r="N90" i="2"/>
  <c r="A92" i="2"/>
  <c r="T91" i="2"/>
  <c r="C91" i="2"/>
  <c r="D91" i="2"/>
  <c r="E92" i="2" s="1"/>
  <c r="B91" i="2"/>
  <c r="L91" i="2"/>
  <c r="Q88" i="2"/>
  <c r="O89" i="2"/>
  <c r="P89" i="2" s="1"/>
  <c r="M90" i="2"/>
  <c r="U45" i="2"/>
  <c r="V45" i="2" s="1"/>
  <c r="S90" i="2" l="1"/>
  <c r="N91" i="2"/>
  <c r="M91" i="2"/>
  <c r="W45" i="2"/>
  <c r="F46" i="2"/>
  <c r="L92" i="2"/>
  <c r="D92" i="2"/>
  <c r="E93" i="2" s="1"/>
  <c r="T92" i="2"/>
  <c r="A93" i="2"/>
  <c r="S93" i="2" s="1"/>
  <c r="C92" i="2"/>
  <c r="B92" i="2"/>
  <c r="Q89" i="2"/>
  <c r="O90" i="2"/>
  <c r="P90" i="2" s="1"/>
  <c r="N92" i="2" l="1"/>
  <c r="S91" i="2"/>
  <c r="M92" i="2"/>
  <c r="S92" i="2" s="1"/>
  <c r="Q90" i="2"/>
  <c r="O91" i="2"/>
  <c r="P91" i="2" s="1"/>
  <c r="U46" i="2"/>
  <c r="V46" i="2" s="1"/>
  <c r="T93" i="2"/>
  <c r="C93" i="2"/>
  <c r="D93" i="2"/>
  <c r="E94" i="2" s="1"/>
  <c r="L93" i="2"/>
  <c r="N93" i="2" s="1"/>
  <c r="B93" i="2"/>
  <c r="A94" i="2"/>
  <c r="S94" i="2" s="1"/>
  <c r="M93" i="2" l="1"/>
  <c r="B94" i="2"/>
  <c r="C94" i="2"/>
  <c r="A95" i="2"/>
  <c r="S95" i="2" s="1"/>
  <c r="L94" i="2"/>
  <c r="N94" i="2" s="1"/>
  <c r="T94" i="2"/>
  <c r="D94" i="2"/>
  <c r="E95" i="2" s="1"/>
  <c r="W46" i="2"/>
  <c r="F47" i="2"/>
  <c r="Q91" i="2"/>
  <c r="O92" i="2"/>
  <c r="P92" i="2" s="1"/>
  <c r="M94" i="2" l="1"/>
  <c r="Q92" i="2"/>
  <c r="O93" i="2"/>
  <c r="P93" i="2" s="1"/>
  <c r="U47" i="2"/>
  <c r="V47" i="2" s="1"/>
  <c r="B95" i="2"/>
  <c r="T95" i="2"/>
  <c r="A96" i="2"/>
  <c r="S96" i="2" s="1"/>
  <c r="D95" i="2"/>
  <c r="E96" i="2" s="1"/>
  <c r="C95" i="2"/>
  <c r="L95" i="2"/>
  <c r="M95" i="2" l="1"/>
  <c r="Q93" i="2"/>
  <c r="O94" i="2"/>
  <c r="P94" i="2" s="1"/>
  <c r="W47" i="2"/>
  <c r="F48" i="2"/>
  <c r="A97" i="2"/>
  <c r="S97" i="2" s="1"/>
  <c r="T96" i="2"/>
  <c r="B96" i="2"/>
  <c r="D96" i="2"/>
  <c r="E97" i="2" s="1"/>
  <c r="C96" i="2"/>
  <c r="L96" i="2"/>
  <c r="N95" i="2"/>
  <c r="M96" i="2" l="1"/>
  <c r="N96" i="2"/>
  <c r="U48" i="2"/>
  <c r="V48" i="2" s="1"/>
  <c r="Q94" i="2"/>
  <c r="O95" i="2"/>
  <c r="P95" i="2" s="1"/>
  <c r="A98" i="2"/>
  <c r="T97" i="2"/>
  <c r="B97" i="2"/>
  <c r="C97" i="2"/>
  <c r="L97" i="2"/>
  <c r="D97" i="2"/>
  <c r="E98" i="2" s="1"/>
  <c r="M97" i="2" l="1"/>
  <c r="Q95" i="2"/>
  <c r="O96" i="2"/>
  <c r="P96" i="2" s="1"/>
  <c r="W48" i="2"/>
  <c r="F49" i="2"/>
  <c r="B98" i="2"/>
  <c r="A99" i="2"/>
  <c r="S99" i="2" s="1"/>
  <c r="L98" i="2"/>
  <c r="C98" i="2"/>
  <c r="T98" i="2"/>
  <c r="D98" i="2"/>
  <c r="E99" i="2" s="1"/>
  <c r="N97" i="2"/>
  <c r="M98" i="2" l="1"/>
  <c r="S98" i="2" s="1"/>
  <c r="N98" i="2"/>
  <c r="U49" i="2"/>
  <c r="V49" i="2" s="1"/>
  <c r="O97" i="2"/>
  <c r="P97" i="2" s="1"/>
  <c r="T99" i="2"/>
  <c r="C99" i="2"/>
  <c r="D99" i="2"/>
  <c r="E100" i="2" s="1"/>
  <c r="B99" i="2"/>
  <c r="A100" i="2"/>
  <c r="S100" i="2" s="1"/>
  <c r="L99" i="2"/>
  <c r="Q96" i="2"/>
  <c r="M99" i="2" l="1"/>
  <c r="W49" i="2"/>
  <c r="F50" i="2"/>
  <c r="N99" i="2"/>
  <c r="Q97" i="2"/>
  <c r="O98" i="2"/>
  <c r="P98" i="2" s="1"/>
  <c r="A101" i="2"/>
  <c r="B100" i="2"/>
  <c r="C100" i="2"/>
  <c r="D100" i="2"/>
  <c r="E101" i="2" s="1"/>
  <c r="T100" i="2"/>
  <c r="L100" i="2"/>
  <c r="M100" i="2" l="1"/>
  <c r="Q98" i="2"/>
  <c r="O99" i="2"/>
  <c r="P99" i="2" s="1"/>
  <c r="U50" i="2"/>
  <c r="V50" i="2" s="1"/>
  <c r="A102" i="2"/>
  <c r="L101" i="2"/>
  <c r="B101" i="2"/>
  <c r="T101" i="2"/>
  <c r="C101" i="2"/>
  <c r="D101" i="2"/>
  <c r="E102" i="2" s="1"/>
  <c r="N100" i="2"/>
  <c r="M101" i="2" l="1"/>
  <c r="Q99" i="2"/>
  <c r="O100" i="2"/>
  <c r="P100" i="2" s="1"/>
  <c r="C102" i="2"/>
  <c r="T102" i="2"/>
  <c r="D102" i="2"/>
  <c r="E103" i="2" s="1"/>
  <c r="L102" i="2"/>
  <c r="A103" i="2"/>
  <c r="B102" i="2"/>
  <c r="F51" i="2"/>
  <c r="W50" i="2"/>
  <c r="N101" i="2"/>
  <c r="S101" i="2" l="1"/>
  <c r="M102" i="2"/>
  <c r="N102" i="2"/>
  <c r="U51" i="2"/>
  <c r="V51" i="2" s="1"/>
  <c r="A104" i="2"/>
  <c r="T103" i="2"/>
  <c r="L103" i="2"/>
  <c r="B103" i="2"/>
  <c r="C103" i="2"/>
  <c r="D103" i="2"/>
  <c r="E104" i="2" s="1"/>
  <c r="Q100" i="2"/>
  <c r="O101" i="2"/>
  <c r="P101" i="2" s="1"/>
  <c r="S102" i="2" l="1"/>
  <c r="M103" i="2"/>
  <c r="W51" i="2"/>
  <c r="F52" i="2"/>
  <c r="N103" i="2"/>
  <c r="L104" i="2"/>
  <c r="A105" i="2"/>
  <c r="S105" i="2" s="1"/>
  <c r="D104" i="2"/>
  <c r="E105" i="2" s="1"/>
  <c r="T104" i="2"/>
  <c r="B104" i="2"/>
  <c r="C104" i="2"/>
  <c r="Q101" i="2"/>
  <c r="O102" i="2"/>
  <c r="P102" i="2" s="1"/>
  <c r="M104" i="2" l="1"/>
  <c r="S103" i="2"/>
  <c r="Q102" i="2"/>
  <c r="O103" i="2"/>
  <c r="P103" i="2" s="1"/>
  <c r="U52" i="2"/>
  <c r="V52" i="2" s="1"/>
  <c r="D105" i="2"/>
  <c r="E106" i="2" s="1"/>
  <c r="T105" i="2"/>
  <c r="B105" i="2"/>
  <c r="L105" i="2"/>
  <c r="M105" i="2" s="1"/>
  <c r="A106" i="2"/>
  <c r="S106" i="2" s="1"/>
  <c r="C105" i="2"/>
  <c r="N104" i="2"/>
  <c r="S104" i="2" l="1"/>
  <c r="N105" i="2"/>
  <c r="W52" i="2"/>
  <c r="F53" i="2"/>
  <c r="A107" i="2"/>
  <c r="S107" i="2" s="1"/>
  <c r="L106" i="2"/>
  <c r="M106" i="2" s="1"/>
  <c r="C106" i="2"/>
  <c r="T106" i="2"/>
  <c r="B106" i="2"/>
  <c r="D106" i="2"/>
  <c r="E107" i="2" s="1"/>
  <c r="Q103" i="2"/>
  <c r="O104" i="2"/>
  <c r="P104" i="2" s="1"/>
  <c r="Q104" i="2" l="1"/>
  <c r="O105" i="2"/>
  <c r="P105" i="2" s="1"/>
  <c r="U53" i="2"/>
  <c r="V53" i="2" s="1"/>
  <c r="C107" i="2"/>
  <c r="B107" i="2"/>
  <c r="D107" i="2"/>
  <c r="E108" i="2" s="1"/>
  <c r="T107" i="2"/>
  <c r="L107" i="2"/>
  <c r="M107" i="2" s="1"/>
  <c r="A108" i="2"/>
  <c r="S108" i="2" s="1"/>
  <c r="N106" i="2"/>
  <c r="N107" i="2" l="1"/>
  <c r="W53" i="2"/>
  <c r="F54" i="2"/>
  <c r="C108" i="2"/>
  <c r="B108" i="2"/>
  <c r="T108" i="2"/>
  <c r="A109" i="2"/>
  <c r="S109" i="2" s="1"/>
  <c r="D108" i="2"/>
  <c r="E109" i="2" s="1"/>
  <c r="L108" i="2"/>
  <c r="N108" i="2" s="1"/>
  <c r="Q105" i="2"/>
  <c r="O106" i="2"/>
  <c r="P106" i="2" s="1"/>
  <c r="M108" i="2" l="1"/>
  <c r="L109" i="2"/>
  <c r="C109" i="2"/>
  <c r="B109" i="2"/>
  <c r="D109" i="2"/>
  <c r="E110" i="2" s="1"/>
  <c r="T109" i="2"/>
  <c r="A110" i="2"/>
  <c r="Q106" i="2"/>
  <c r="O107" i="2"/>
  <c r="P107" i="2" s="1"/>
  <c r="U54" i="2"/>
  <c r="V54" i="2" s="1"/>
  <c r="M109" i="2" l="1"/>
  <c r="T110" i="2"/>
  <c r="C110" i="2"/>
  <c r="A111" i="2"/>
  <c r="S111" i="2" s="1"/>
  <c r="D110" i="2"/>
  <c r="E111" i="2" s="1"/>
  <c r="B110" i="2"/>
  <c r="L110" i="2"/>
  <c r="N109" i="2"/>
  <c r="W54" i="2"/>
  <c r="F55" i="2"/>
  <c r="Q107" i="2"/>
  <c r="O108" i="2"/>
  <c r="P108" i="2" s="1"/>
  <c r="M110" i="2" l="1"/>
  <c r="O109" i="2"/>
  <c r="P109" i="2" s="1"/>
  <c r="Q108" i="2"/>
  <c r="U55" i="2"/>
  <c r="V55" i="2" s="1"/>
  <c r="T111" i="2"/>
  <c r="B111" i="2"/>
  <c r="A112" i="2"/>
  <c r="S112" i="2" s="1"/>
  <c r="C111" i="2"/>
  <c r="L111" i="2"/>
  <c r="D111" i="2"/>
  <c r="E112" i="2" s="1"/>
  <c r="N110" i="2"/>
  <c r="S110" i="2" l="1"/>
  <c r="M111" i="2"/>
  <c r="Q109" i="2"/>
  <c r="N111" i="2"/>
  <c r="W55" i="2"/>
  <c r="F56" i="2"/>
  <c r="A113" i="2"/>
  <c r="L112" i="2"/>
  <c r="B112" i="2"/>
  <c r="T112" i="2"/>
  <c r="C112" i="2"/>
  <c r="D112" i="2"/>
  <c r="E113" i="2" s="1"/>
  <c r="O110" i="2"/>
  <c r="P110" i="2" s="1"/>
  <c r="M112" i="2" l="1"/>
  <c r="Q110" i="2"/>
  <c r="O111" i="2"/>
  <c r="P111" i="2" s="1"/>
  <c r="U56" i="2"/>
  <c r="V56" i="2" s="1"/>
  <c r="L113" i="2"/>
  <c r="D113" i="2"/>
  <c r="E114" i="2" s="1"/>
  <c r="C113" i="2"/>
  <c r="A114" i="2"/>
  <c r="T113" i="2"/>
  <c r="B113" i="2"/>
  <c r="N112" i="2"/>
  <c r="M113" i="2" l="1"/>
  <c r="N113" i="2"/>
  <c r="S113" i="2" s="1"/>
  <c r="F57" i="2"/>
  <c r="W56" i="2"/>
  <c r="Q111" i="2"/>
  <c r="O112" i="2"/>
  <c r="P112" i="2" s="1"/>
  <c r="L114" i="2"/>
  <c r="A115" i="2"/>
  <c r="B114" i="2"/>
  <c r="D114" i="2"/>
  <c r="E115" i="2" s="1"/>
  <c r="T114" i="2"/>
  <c r="C114" i="2"/>
  <c r="N114" i="2" l="1"/>
  <c r="M114" i="2"/>
  <c r="Q112" i="2"/>
  <c r="O113" i="2"/>
  <c r="P113" i="2" s="1"/>
  <c r="C115" i="2"/>
  <c r="A116" i="2"/>
  <c r="B115" i="2"/>
  <c r="L115" i="2"/>
  <c r="T115" i="2"/>
  <c r="D115" i="2"/>
  <c r="E116" i="2" s="1"/>
  <c r="U57" i="2"/>
  <c r="V57" i="2" s="1"/>
  <c r="S114" i="2" l="1"/>
  <c r="N115" i="2"/>
  <c r="M115" i="2"/>
  <c r="W57" i="2"/>
  <c r="F58" i="2"/>
  <c r="C116" i="2"/>
  <c r="L116" i="2"/>
  <c r="B116" i="2"/>
  <c r="A117" i="2"/>
  <c r="S117" i="2" s="1"/>
  <c r="T116" i="2"/>
  <c r="D116" i="2"/>
  <c r="E117" i="2" s="1"/>
  <c r="Q113" i="2"/>
  <c r="O114" i="2"/>
  <c r="P114" i="2" s="1"/>
  <c r="S115" i="2" l="1"/>
  <c r="N116" i="2"/>
  <c r="M116" i="2"/>
  <c r="Q114" i="2"/>
  <c r="O115" i="2"/>
  <c r="P115" i="2" s="1"/>
  <c r="U58" i="2"/>
  <c r="V58" i="2" s="1"/>
  <c r="T117" i="2"/>
  <c r="D117" i="2"/>
  <c r="E118" i="2" s="1"/>
  <c r="C117" i="2"/>
  <c r="B117" i="2"/>
  <c r="L117" i="2"/>
  <c r="A118" i="2"/>
  <c r="S118" i="2" s="1"/>
  <c r="S116" i="2" l="1"/>
  <c r="N117" i="2"/>
  <c r="Q115" i="2"/>
  <c r="O116" i="2"/>
  <c r="P116" i="2" s="1"/>
  <c r="F59" i="2"/>
  <c r="W58" i="2"/>
  <c r="M117" i="2"/>
  <c r="L118" i="2"/>
  <c r="C118" i="2"/>
  <c r="T118" i="2"/>
  <c r="A119" i="2"/>
  <c r="S119" i="2" s="1"/>
  <c r="D118" i="2"/>
  <c r="E119" i="2" s="1"/>
  <c r="B118" i="2"/>
  <c r="N118" i="2" l="1"/>
  <c r="U59" i="2"/>
  <c r="V59" i="2" s="1"/>
  <c r="Q116" i="2"/>
  <c r="O117" i="2"/>
  <c r="P117" i="2" s="1"/>
  <c r="A120" i="2"/>
  <c r="S120" i="2" s="1"/>
  <c r="B119" i="2"/>
  <c r="T119" i="2"/>
  <c r="D119" i="2"/>
  <c r="E120" i="2" s="1"/>
  <c r="C119" i="2"/>
  <c r="L119" i="2"/>
  <c r="M118" i="2"/>
  <c r="N119" i="2" l="1"/>
  <c r="M119" i="2"/>
  <c r="L120" i="2"/>
  <c r="A121" i="2"/>
  <c r="S121" i="2" s="1"/>
  <c r="B120" i="2"/>
  <c r="D120" i="2"/>
  <c r="E121" i="2" s="1"/>
  <c r="C120" i="2"/>
  <c r="T120" i="2"/>
  <c r="W59" i="2"/>
  <c r="F60" i="2"/>
  <c r="Q117" i="2"/>
  <c r="O118" i="2"/>
  <c r="P118" i="2" s="1"/>
  <c r="N120" i="2" l="1"/>
  <c r="M120" i="2"/>
  <c r="Q118" i="2"/>
  <c r="O119" i="2"/>
  <c r="P119" i="2" s="1"/>
  <c r="U60" i="2"/>
  <c r="V60" i="2" s="1"/>
  <c r="B121" i="2"/>
  <c r="D121" i="2"/>
  <c r="E122" i="2" s="1"/>
  <c r="A122" i="2"/>
  <c r="C121" i="2"/>
  <c r="L121" i="2"/>
  <c r="T121" i="2"/>
  <c r="N121" i="2" l="1"/>
  <c r="M121" i="2"/>
  <c r="Q119" i="2"/>
  <c r="O120" i="2"/>
  <c r="P120" i="2" s="1"/>
  <c r="F61" i="2"/>
  <c r="W60" i="2"/>
  <c r="B122" i="2"/>
  <c r="T122" i="2"/>
  <c r="C122" i="2"/>
  <c r="A123" i="2"/>
  <c r="S123" i="2" s="1"/>
  <c r="D122" i="2"/>
  <c r="E123" i="2" s="1"/>
  <c r="L122" i="2"/>
  <c r="N122" i="2" l="1"/>
  <c r="O121" i="2"/>
  <c r="P121" i="2" s="1"/>
  <c r="Q120" i="2"/>
  <c r="M122" i="2"/>
  <c r="S122" i="2" s="1"/>
  <c r="U61" i="2"/>
  <c r="V61" i="2" s="1"/>
  <c r="L123" i="2"/>
  <c r="C123" i="2"/>
  <c r="B123" i="2"/>
  <c r="T123" i="2"/>
  <c r="D123" i="2"/>
  <c r="E124" i="2" s="1"/>
  <c r="A124" i="2"/>
  <c r="S124" i="2" s="1"/>
  <c r="Q121" i="2" l="1"/>
  <c r="O122" i="2"/>
  <c r="P122" i="2" s="1"/>
  <c r="N123" i="2"/>
  <c r="W61" i="2"/>
  <c r="F62" i="2"/>
  <c r="M123" i="2"/>
  <c r="T124" i="2"/>
  <c r="L124" i="2"/>
  <c r="B124" i="2"/>
  <c r="D124" i="2"/>
  <c r="E125" i="2" s="1"/>
  <c r="A125" i="2"/>
  <c r="C124" i="2"/>
  <c r="Q122" i="2" l="1"/>
  <c r="N124" i="2"/>
  <c r="U62" i="2"/>
  <c r="V62" i="2" s="1"/>
  <c r="C125" i="2"/>
  <c r="B125" i="2"/>
  <c r="D125" i="2"/>
  <c r="E126" i="2" s="1"/>
  <c r="A126" i="2"/>
  <c r="T125" i="2"/>
  <c r="L125" i="2"/>
  <c r="M124" i="2"/>
  <c r="O123" i="2"/>
  <c r="P123" i="2" s="1"/>
  <c r="N125" i="2" l="1"/>
  <c r="Q123" i="2"/>
  <c r="O124" i="2"/>
  <c r="P124" i="2" s="1"/>
  <c r="W62" i="2"/>
  <c r="F63" i="2"/>
  <c r="M125" i="2"/>
  <c r="L126" i="2"/>
  <c r="T126" i="2"/>
  <c r="C126" i="2"/>
  <c r="B126" i="2"/>
  <c r="A127" i="2"/>
  <c r="D126" i="2"/>
  <c r="E127" i="2" s="1"/>
  <c r="S125" i="2" l="1"/>
  <c r="N126" i="2"/>
  <c r="U63" i="2"/>
  <c r="V63" i="2" s="1"/>
  <c r="Q124" i="2"/>
  <c r="O125" i="2"/>
  <c r="P125" i="2" s="1"/>
  <c r="M126" i="2"/>
  <c r="S126" i="2" s="1"/>
  <c r="C127" i="2"/>
  <c r="A128" i="2"/>
  <c r="B127" i="2"/>
  <c r="T127" i="2"/>
  <c r="L127" i="2"/>
  <c r="D127" i="2"/>
  <c r="E128" i="2" s="1"/>
  <c r="N127" i="2" l="1"/>
  <c r="M127" i="2"/>
  <c r="T128" i="2"/>
  <c r="B128" i="2"/>
  <c r="C128" i="2"/>
  <c r="A129" i="2"/>
  <c r="S129" i="2" s="1"/>
  <c r="L128" i="2"/>
  <c r="D128" i="2"/>
  <c r="E129" i="2" s="1"/>
  <c r="F64" i="2"/>
  <c r="W63" i="2"/>
  <c r="Q125" i="2"/>
  <c r="O126" i="2"/>
  <c r="P126" i="2" s="1"/>
  <c r="S127" i="2" l="1"/>
  <c r="M128" i="2"/>
  <c r="Q126" i="2"/>
  <c r="O127" i="2"/>
  <c r="P127" i="2" s="1"/>
  <c r="A130" i="2"/>
  <c r="S130" i="2" s="1"/>
  <c r="C129" i="2"/>
  <c r="L129" i="2"/>
  <c r="T129" i="2"/>
  <c r="B129" i="2"/>
  <c r="D129" i="2"/>
  <c r="E130" i="2" s="1"/>
  <c r="N128" i="2"/>
  <c r="U64" i="2"/>
  <c r="V64" i="2" s="1"/>
  <c r="S128" i="2" l="1"/>
  <c r="M129" i="2"/>
  <c r="N129" i="2"/>
  <c r="W64" i="2"/>
  <c r="F65" i="2"/>
  <c r="Q127" i="2"/>
  <c r="O128" i="2"/>
  <c r="P128" i="2" s="1"/>
  <c r="L130" i="2"/>
  <c r="D130" i="2"/>
  <c r="E131" i="2" s="1"/>
  <c r="C130" i="2"/>
  <c r="B130" i="2"/>
  <c r="T130" i="2"/>
  <c r="A131" i="2"/>
  <c r="S131" i="2" s="1"/>
  <c r="M130" i="2" l="1"/>
  <c r="N130" i="2"/>
  <c r="L131" i="2"/>
  <c r="T131" i="2"/>
  <c r="C131" i="2"/>
  <c r="A132" i="2"/>
  <c r="S132" i="2" s="1"/>
  <c r="B131" i="2"/>
  <c r="D131" i="2"/>
  <c r="E132" i="2" s="1"/>
  <c r="U65" i="2"/>
  <c r="V65" i="2" s="1"/>
  <c r="Q128" i="2"/>
  <c r="O129" i="2"/>
  <c r="P129" i="2" s="1"/>
  <c r="M131" i="2" l="1"/>
  <c r="F66" i="2"/>
  <c r="W65" i="2"/>
  <c r="L132" i="2"/>
  <c r="C132" i="2"/>
  <c r="A133" i="2"/>
  <c r="S133" i="2" s="1"/>
  <c r="D132" i="2"/>
  <c r="E133" i="2" s="1"/>
  <c r="T132" i="2"/>
  <c r="B132" i="2"/>
  <c r="N131" i="2"/>
  <c r="Q129" i="2"/>
  <c r="O130" i="2"/>
  <c r="P130" i="2" s="1"/>
  <c r="M132" i="2" l="1"/>
  <c r="N132" i="2"/>
  <c r="U66" i="2"/>
  <c r="V66" i="2" s="1"/>
  <c r="Q130" i="2"/>
  <c r="O131" i="2"/>
  <c r="P131" i="2" s="1"/>
  <c r="C133" i="2"/>
  <c r="T133" i="2"/>
  <c r="B133" i="2"/>
  <c r="D133" i="2"/>
  <c r="E134" i="2" s="1"/>
  <c r="L133" i="2"/>
  <c r="A134" i="2"/>
  <c r="M133" i="2" l="1"/>
  <c r="F67" i="2"/>
  <c r="W66" i="2"/>
  <c r="N133" i="2"/>
  <c r="B134" i="2"/>
  <c r="L134" i="2"/>
  <c r="T134" i="2"/>
  <c r="C134" i="2"/>
  <c r="D134" i="2"/>
  <c r="E135" i="2" s="1"/>
  <c r="A135" i="2"/>
  <c r="S135" i="2" s="1"/>
  <c r="Q131" i="2"/>
  <c r="O132" i="2"/>
  <c r="P132" i="2" s="1"/>
  <c r="O133" i="2" l="1"/>
  <c r="P133" i="2" s="1"/>
  <c r="M134" i="2"/>
  <c r="Q132" i="2"/>
  <c r="T135" i="2"/>
  <c r="B135" i="2"/>
  <c r="L135" i="2"/>
  <c r="C135" i="2"/>
  <c r="A136" i="2"/>
  <c r="S136" i="2" s="1"/>
  <c r="D135" i="2"/>
  <c r="E136" i="2" s="1"/>
  <c r="N134" i="2"/>
  <c r="U67" i="2"/>
  <c r="V67" i="2" s="1"/>
  <c r="S134" i="2" l="1"/>
  <c r="M135" i="2"/>
  <c r="Q133" i="2"/>
  <c r="N135" i="2"/>
  <c r="F68" i="2"/>
  <c r="W67" i="2"/>
  <c r="C136" i="2"/>
  <c r="B136" i="2"/>
  <c r="A137" i="2"/>
  <c r="T136" i="2"/>
  <c r="D136" i="2"/>
  <c r="E137" i="2" s="1"/>
  <c r="L136" i="2"/>
  <c r="O134" i="2"/>
  <c r="P134" i="2" s="1"/>
  <c r="M136" i="2" l="1"/>
  <c r="N136" i="2"/>
  <c r="Q134" i="2"/>
  <c r="O135" i="2"/>
  <c r="P135" i="2" s="1"/>
  <c r="U68" i="2"/>
  <c r="V68" i="2" s="1"/>
  <c r="L137" i="2"/>
  <c r="T137" i="2"/>
  <c r="C137" i="2"/>
  <c r="D137" i="2"/>
  <c r="E138" i="2" s="1"/>
  <c r="B137" i="2"/>
  <c r="A138" i="2"/>
  <c r="M137" i="2" l="1"/>
  <c r="N137" i="2"/>
  <c r="S137" i="2" s="1"/>
  <c r="Q135" i="2"/>
  <c r="O136" i="2"/>
  <c r="P136" i="2" s="1"/>
  <c r="F69" i="2"/>
  <c r="W68" i="2"/>
  <c r="C138" i="2"/>
  <c r="D138" i="2"/>
  <c r="E139" i="2" s="1"/>
  <c r="L138" i="2"/>
  <c r="M138" i="2" s="1"/>
  <c r="T138" i="2"/>
  <c r="B138" i="2"/>
  <c r="A139" i="2"/>
  <c r="B139" i="2" l="1"/>
  <c r="D139" i="2"/>
  <c r="E140" i="2" s="1"/>
  <c r="C139" i="2"/>
  <c r="A140" i="2"/>
  <c r="T139" i="2"/>
  <c r="L139" i="2"/>
  <c r="M139" i="2" s="1"/>
  <c r="U69" i="2"/>
  <c r="V69" i="2" s="1"/>
  <c r="N138" i="2"/>
  <c r="S138" i="2" s="1"/>
  <c r="Q136" i="2"/>
  <c r="O137" i="2"/>
  <c r="P137" i="2" s="1"/>
  <c r="N139" i="2" l="1"/>
  <c r="S139" i="2" s="1"/>
  <c r="F70" i="2"/>
  <c r="W69" i="2"/>
  <c r="Q137" i="2"/>
  <c r="O138" i="2"/>
  <c r="P138" i="2" s="1"/>
  <c r="T140" i="2"/>
  <c r="D140" i="2"/>
  <c r="E141" i="2" s="1"/>
  <c r="C140" i="2"/>
  <c r="A141" i="2"/>
  <c r="S141" i="2" s="1"/>
  <c r="B140" i="2"/>
  <c r="L140" i="2"/>
  <c r="N140" i="2" l="1"/>
  <c r="M140" i="2"/>
  <c r="Q138" i="2"/>
  <c r="O139" i="2"/>
  <c r="P139" i="2" s="1"/>
  <c r="U70" i="2"/>
  <c r="V70" i="2" s="1"/>
  <c r="B141" i="2"/>
  <c r="L141" i="2"/>
  <c r="T141" i="2"/>
  <c r="C141" i="2"/>
  <c r="A142" i="2"/>
  <c r="S142" i="2" s="1"/>
  <c r="D141" i="2"/>
  <c r="E142" i="2" s="1"/>
  <c r="S140" i="2" l="1"/>
  <c r="N141" i="2"/>
  <c r="M141" i="2"/>
  <c r="Q139" i="2"/>
  <c r="O140" i="2"/>
  <c r="P140" i="2" s="1"/>
  <c r="W70" i="2"/>
  <c r="F71" i="2"/>
  <c r="D142" i="2"/>
  <c r="E143" i="2" s="1"/>
  <c r="T142" i="2"/>
  <c r="C142" i="2"/>
  <c r="A143" i="2"/>
  <c r="S143" i="2" s="1"/>
  <c r="L142" i="2"/>
  <c r="B142" i="2"/>
  <c r="N142" i="2" l="1"/>
  <c r="U71" i="2"/>
  <c r="V71" i="2" s="1"/>
  <c r="M142" i="2"/>
  <c r="Q140" i="2"/>
  <c r="O141" i="2"/>
  <c r="P141" i="2" s="1"/>
  <c r="C143" i="2"/>
  <c r="A144" i="2"/>
  <c r="S144" i="2" s="1"/>
  <c r="T143" i="2"/>
  <c r="L143" i="2"/>
  <c r="N143" i="2" s="1"/>
  <c r="D143" i="2"/>
  <c r="E144" i="2" s="1"/>
  <c r="B143" i="2"/>
  <c r="Q141" i="2" l="1"/>
  <c r="O142" i="2"/>
  <c r="P142" i="2" s="1"/>
  <c r="L144" i="2"/>
  <c r="N144" i="2" s="1"/>
  <c r="A145" i="2"/>
  <c r="S145" i="2" s="1"/>
  <c r="T144" i="2"/>
  <c r="C144" i="2"/>
  <c r="B144" i="2"/>
  <c r="D144" i="2"/>
  <c r="E145" i="2" s="1"/>
  <c r="M143" i="2"/>
  <c r="F72" i="2"/>
  <c r="W71" i="2"/>
  <c r="M144" i="2" l="1"/>
  <c r="Q142" i="2"/>
  <c r="O143" i="2"/>
  <c r="P143" i="2" s="1"/>
  <c r="T145" i="2"/>
  <c r="D145" i="2"/>
  <c r="E146" i="2" s="1"/>
  <c r="A146" i="2"/>
  <c r="L145" i="2"/>
  <c r="C145" i="2"/>
  <c r="B145" i="2"/>
  <c r="U72" i="2"/>
  <c r="V72" i="2" s="1"/>
  <c r="M145" i="2" l="1"/>
  <c r="B146" i="2"/>
  <c r="L146" i="2"/>
  <c r="C146" i="2"/>
  <c r="T146" i="2"/>
  <c r="A147" i="2"/>
  <c r="S147" i="2" s="1"/>
  <c r="D146" i="2"/>
  <c r="E147" i="2" s="1"/>
  <c r="N145" i="2"/>
  <c r="Q143" i="2"/>
  <c r="O144" i="2"/>
  <c r="P144" i="2" s="1"/>
  <c r="F73" i="2"/>
  <c r="W72" i="2"/>
  <c r="M146" i="2" l="1"/>
  <c r="Q144" i="2"/>
  <c r="N146" i="2"/>
  <c r="O145" i="2"/>
  <c r="P145" i="2" s="1"/>
  <c r="U73" i="2"/>
  <c r="V73" i="2" s="1"/>
  <c r="C147" i="2"/>
  <c r="D147" i="2"/>
  <c r="E148" i="2" s="1"/>
  <c r="L147" i="2"/>
  <c r="A148" i="2"/>
  <c r="S148" i="2" s="1"/>
  <c r="B147" i="2"/>
  <c r="T147" i="2"/>
  <c r="S146" i="2" l="1"/>
  <c r="Q145" i="2"/>
  <c r="N147" i="2"/>
  <c r="O146" i="2"/>
  <c r="P146" i="2" s="1"/>
  <c r="F74" i="2"/>
  <c r="W73" i="2"/>
  <c r="M147" i="2"/>
  <c r="B148" i="2"/>
  <c r="A149" i="2"/>
  <c r="C148" i="2"/>
  <c r="T148" i="2"/>
  <c r="D148" i="2"/>
  <c r="E149" i="2" s="1"/>
  <c r="L148" i="2"/>
  <c r="Q146" i="2" l="1"/>
  <c r="N148" i="2"/>
  <c r="U74" i="2"/>
  <c r="V74" i="2" s="1"/>
  <c r="C149" i="2"/>
  <c r="B149" i="2"/>
  <c r="A150" i="2"/>
  <c r="D149" i="2"/>
  <c r="E150" i="2" s="1"/>
  <c r="T149" i="2"/>
  <c r="L149" i="2"/>
  <c r="M148" i="2"/>
  <c r="O147" i="2"/>
  <c r="P147" i="2" s="1"/>
  <c r="N149" i="2" l="1"/>
  <c r="M149" i="2"/>
  <c r="Q147" i="2"/>
  <c r="O148" i="2"/>
  <c r="P148" i="2" s="1"/>
  <c r="F75" i="2"/>
  <c r="W74" i="2"/>
  <c r="D150" i="2"/>
  <c r="E151" i="2" s="1"/>
  <c r="T150" i="2"/>
  <c r="A151" i="2"/>
  <c r="L150" i="2"/>
  <c r="C150" i="2"/>
  <c r="B150" i="2"/>
  <c r="S149" i="2" l="1"/>
  <c r="N150" i="2"/>
  <c r="M150" i="2"/>
  <c r="S150" i="2" s="1"/>
  <c r="C151" i="2"/>
  <c r="A152" i="2"/>
  <c r="B151" i="2"/>
  <c r="L151" i="2"/>
  <c r="T151" i="2"/>
  <c r="D151" i="2"/>
  <c r="E152" i="2" s="1"/>
  <c r="U75" i="2"/>
  <c r="V75" i="2" s="1"/>
  <c r="Q148" i="2"/>
  <c r="O149" i="2"/>
  <c r="P149" i="2" s="1"/>
  <c r="N151" i="2" l="1"/>
  <c r="M151" i="2"/>
  <c r="S151" i="2" s="1"/>
  <c r="W75" i="2"/>
  <c r="F76" i="2"/>
  <c r="Q149" i="2"/>
  <c r="O150" i="2"/>
  <c r="P150" i="2" s="1"/>
  <c r="A153" i="2"/>
  <c r="S153" i="2" s="1"/>
  <c r="C152" i="2"/>
  <c r="T152" i="2"/>
  <c r="L152" i="2"/>
  <c r="B152" i="2"/>
  <c r="D152" i="2"/>
  <c r="E153" i="2" s="1"/>
  <c r="N152" i="2" l="1"/>
  <c r="M152" i="2"/>
  <c r="U76" i="2"/>
  <c r="V76" i="2" s="1"/>
  <c r="Q150" i="2"/>
  <c r="O151" i="2"/>
  <c r="P151" i="2" s="1"/>
  <c r="D153" i="2"/>
  <c r="E154" i="2" s="1"/>
  <c r="B153" i="2"/>
  <c r="T153" i="2"/>
  <c r="C153" i="2"/>
  <c r="A154" i="2"/>
  <c r="S154" i="2" s="1"/>
  <c r="L153" i="2"/>
  <c r="S152" i="2" l="1"/>
  <c r="N153" i="2"/>
  <c r="W76" i="2"/>
  <c r="F77" i="2"/>
  <c r="Q151" i="2"/>
  <c r="O152" i="2"/>
  <c r="P152" i="2" s="1"/>
  <c r="M153" i="2"/>
  <c r="L154" i="2"/>
  <c r="C154" i="2"/>
  <c r="T154" i="2"/>
  <c r="B154" i="2"/>
  <c r="A155" i="2"/>
  <c r="S155" i="2" s="1"/>
  <c r="D154" i="2"/>
  <c r="E155" i="2" s="1"/>
  <c r="N154" i="2" l="1"/>
  <c r="M154" i="2"/>
  <c r="U77" i="2"/>
  <c r="V77" i="2" s="1"/>
  <c r="Q152" i="2"/>
  <c r="O153" i="2"/>
  <c r="P153" i="2" s="1"/>
  <c r="L155" i="2"/>
  <c r="B155" i="2"/>
  <c r="T155" i="2"/>
  <c r="A156" i="2"/>
  <c r="S156" i="2" s="1"/>
  <c r="C155" i="2"/>
  <c r="D155" i="2"/>
  <c r="E156" i="2" s="1"/>
  <c r="M155" i="2" l="1"/>
  <c r="N155" i="2"/>
  <c r="W77" i="2"/>
  <c r="F78" i="2"/>
  <c r="Q153" i="2"/>
  <c r="O154" i="2"/>
  <c r="P154" i="2" s="1"/>
  <c r="B156" i="2"/>
  <c r="T156" i="2"/>
  <c r="A157" i="2"/>
  <c r="S157" i="2" s="1"/>
  <c r="C156" i="2"/>
  <c r="D156" i="2"/>
  <c r="E157" i="2" s="1"/>
  <c r="L156" i="2"/>
  <c r="N156" i="2" l="1"/>
  <c r="U78" i="2"/>
  <c r="V78" i="2" s="1"/>
  <c r="M156" i="2"/>
  <c r="T157" i="2"/>
  <c r="L157" i="2"/>
  <c r="D157" i="2"/>
  <c r="E158" i="2" s="1"/>
  <c r="A158" i="2"/>
  <c r="C157" i="2"/>
  <c r="B157" i="2"/>
  <c r="Q154" i="2"/>
  <c r="O155" i="2"/>
  <c r="P155" i="2" s="1"/>
  <c r="N157" i="2" l="1"/>
  <c r="M157" i="2"/>
  <c r="W78" i="2"/>
  <c r="F79" i="2"/>
  <c r="Q155" i="2"/>
  <c r="O156" i="2"/>
  <c r="P156" i="2" s="1"/>
  <c r="L158" i="2"/>
  <c r="B158" i="2"/>
  <c r="A159" i="2"/>
  <c r="S159" i="2" s="1"/>
  <c r="D158" i="2"/>
  <c r="E159" i="2" s="1"/>
  <c r="T158" i="2"/>
  <c r="C158" i="2"/>
  <c r="O157" i="2" l="1"/>
  <c r="P157" i="2" s="1"/>
  <c r="M158" i="2"/>
  <c r="Q156" i="2"/>
  <c r="U79" i="2"/>
  <c r="V79" i="2" s="1"/>
  <c r="N158" i="2"/>
  <c r="T159" i="2"/>
  <c r="B159" i="2"/>
  <c r="D159" i="2"/>
  <c r="E160" i="2" s="1"/>
  <c r="L159" i="2"/>
  <c r="C159" i="2"/>
  <c r="A160" i="2"/>
  <c r="S160" i="2" s="1"/>
  <c r="S158" i="2" l="1"/>
  <c r="Q157" i="2"/>
  <c r="M159" i="2"/>
  <c r="F80" i="2"/>
  <c r="W79" i="2"/>
  <c r="L160" i="2"/>
  <c r="T160" i="2"/>
  <c r="A161" i="2"/>
  <c r="D160" i="2"/>
  <c r="E161" i="2" s="1"/>
  <c r="B160" i="2"/>
  <c r="C160" i="2"/>
  <c r="N159" i="2"/>
  <c r="O158" i="2"/>
  <c r="P158" i="2" s="1"/>
  <c r="M160" i="2" l="1"/>
  <c r="N160" i="2"/>
  <c r="Q158" i="2"/>
  <c r="O159" i="2"/>
  <c r="P159" i="2" s="1"/>
  <c r="U80" i="2"/>
  <c r="V80" i="2" s="1"/>
  <c r="T161" i="2"/>
  <c r="B161" i="2"/>
  <c r="D161" i="2"/>
  <c r="E162" i="2" s="1"/>
  <c r="C161" i="2"/>
  <c r="L161" i="2"/>
  <c r="A162" i="2"/>
  <c r="M161" i="2" l="1"/>
  <c r="N161" i="2"/>
  <c r="W80" i="2"/>
  <c r="F81" i="2"/>
  <c r="Q159" i="2"/>
  <c r="O160" i="2"/>
  <c r="P160" i="2" s="1"/>
  <c r="A163" i="2"/>
  <c r="T162" i="2"/>
  <c r="D162" i="2"/>
  <c r="E163" i="2" s="1"/>
  <c r="B162" i="2"/>
  <c r="C162" i="2"/>
  <c r="L162" i="2"/>
  <c r="S161" i="2" l="1"/>
  <c r="M162" i="2"/>
  <c r="N162" i="2"/>
  <c r="Q160" i="2"/>
  <c r="O161" i="2"/>
  <c r="P161" i="2" s="1"/>
  <c r="U81" i="2"/>
  <c r="V81" i="2" s="1"/>
  <c r="B163" i="2"/>
  <c r="L163" i="2"/>
  <c r="D163" i="2"/>
  <c r="E164" i="2" s="1"/>
  <c r="A164" i="2"/>
  <c r="C163" i="2"/>
  <c r="T163" i="2"/>
  <c r="S162" i="2" l="1"/>
  <c r="M163" i="2"/>
  <c r="Q161" i="2"/>
  <c r="O162" i="2"/>
  <c r="P162" i="2" s="1"/>
  <c r="F82" i="2"/>
  <c r="W81" i="2"/>
  <c r="N163" i="2"/>
  <c r="D164" i="2"/>
  <c r="E165" i="2" s="1"/>
  <c r="C164" i="2"/>
  <c r="A165" i="2"/>
  <c r="S165" i="2" s="1"/>
  <c r="T164" i="2"/>
  <c r="B164" i="2"/>
  <c r="L164" i="2"/>
  <c r="S163" i="2" l="1"/>
  <c r="M164" i="2"/>
  <c r="Q162" i="2"/>
  <c r="O163" i="2"/>
  <c r="P163" i="2" s="1"/>
  <c r="N164" i="2"/>
  <c r="U82" i="2"/>
  <c r="V82" i="2" s="1"/>
  <c r="B165" i="2"/>
  <c r="T165" i="2"/>
  <c r="A166" i="2"/>
  <c r="S166" i="2" s="1"/>
  <c r="C165" i="2"/>
  <c r="D165" i="2"/>
  <c r="E166" i="2" s="1"/>
  <c r="L165" i="2"/>
  <c r="S164" i="2" l="1"/>
  <c r="M165" i="2"/>
  <c r="Q163" i="2"/>
  <c r="O164" i="2"/>
  <c r="P164" i="2" s="1"/>
  <c r="A167" i="2"/>
  <c r="S167" i="2" s="1"/>
  <c r="C166" i="2"/>
  <c r="L166" i="2"/>
  <c r="T166" i="2"/>
  <c r="D166" i="2"/>
  <c r="E167" i="2" s="1"/>
  <c r="B166" i="2"/>
  <c r="F83" i="2"/>
  <c r="W82" i="2"/>
  <c r="N165" i="2"/>
  <c r="M166" i="2" l="1"/>
  <c r="N166" i="2"/>
  <c r="L167" i="2"/>
  <c r="T167" i="2"/>
  <c r="D167" i="2"/>
  <c r="E168" i="2" s="1"/>
  <c r="C167" i="2"/>
  <c r="B167" i="2"/>
  <c r="A168" i="2"/>
  <c r="S168" i="2" s="1"/>
  <c r="Q164" i="2"/>
  <c r="O165" i="2"/>
  <c r="P165" i="2" s="1"/>
  <c r="U83" i="2"/>
  <c r="V83" i="2" s="1"/>
  <c r="M167" i="2" l="1"/>
  <c r="N167" i="2"/>
  <c r="B168" i="2"/>
  <c r="A169" i="2"/>
  <c r="S169" i="2" s="1"/>
  <c r="T168" i="2"/>
  <c r="D168" i="2"/>
  <c r="E169" i="2" s="1"/>
  <c r="C168" i="2"/>
  <c r="L168" i="2"/>
  <c r="F84" i="2"/>
  <c r="W83" i="2"/>
  <c r="Q165" i="2"/>
  <c r="O166" i="2"/>
  <c r="P166" i="2" s="1"/>
  <c r="N168" i="2" l="1"/>
  <c r="M168" i="2"/>
  <c r="Q166" i="2"/>
  <c r="O167" i="2"/>
  <c r="P167" i="2" s="1"/>
  <c r="U84" i="2"/>
  <c r="V84" i="2" s="1"/>
  <c r="B169" i="2"/>
  <c r="C169" i="2"/>
  <c r="D169" i="2"/>
  <c r="E170" i="2" s="1"/>
  <c r="T169" i="2"/>
  <c r="L169" i="2"/>
  <c r="A170" i="2"/>
  <c r="N169" i="2" l="1"/>
  <c r="F85" i="2"/>
  <c r="W84" i="2"/>
  <c r="M169" i="2"/>
  <c r="Q167" i="2"/>
  <c r="O168" i="2"/>
  <c r="P168" i="2" s="1"/>
  <c r="C170" i="2"/>
  <c r="T170" i="2"/>
  <c r="B170" i="2"/>
  <c r="L170" i="2"/>
  <c r="D170" i="2"/>
  <c r="E171" i="2" s="1"/>
  <c r="A171" i="2"/>
  <c r="S171" i="2" s="1"/>
  <c r="N170" i="2" l="1"/>
  <c r="Q168" i="2"/>
  <c r="L171" i="2"/>
  <c r="T171" i="2"/>
  <c r="B171" i="2"/>
  <c r="C171" i="2"/>
  <c r="A172" i="2"/>
  <c r="S172" i="2" s="1"/>
  <c r="D171" i="2"/>
  <c r="E172" i="2" s="1"/>
  <c r="U85" i="2"/>
  <c r="V85" i="2" s="1"/>
  <c r="M170" i="2"/>
  <c r="S170" i="2" s="1"/>
  <c r="O169" i="2"/>
  <c r="P169" i="2" s="1"/>
  <c r="N171" i="2" l="1"/>
  <c r="F86" i="2"/>
  <c r="W85" i="2"/>
  <c r="Q169" i="2"/>
  <c r="O170" i="2"/>
  <c r="P170" i="2" s="1"/>
  <c r="M171" i="2"/>
  <c r="C172" i="2"/>
  <c r="A173" i="2"/>
  <c r="L172" i="2"/>
  <c r="N172" i="2" s="1"/>
  <c r="T172" i="2"/>
  <c r="B172" i="2"/>
  <c r="D172" i="2"/>
  <c r="E173" i="2" s="1"/>
  <c r="U86" i="2" l="1"/>
  <c r="V86" i="2" s="1"/>
  <c r="C173" i="2"/>
  <c r="T173" i="2"/>
  <c r="D173" i="2"/>
  <c r="E174" i="2" s="1"/>
  <c r="A174" i="2"/>
  <c r="B173" i="2"/>
  <c r="L173" i="2"/>
  <c r="N173" i="2" s="1"/>
  <c r="Q170" i="2"/>
  <c r="O171" i="2"/>
  <c r="P171" i="2" s="1"/>
  <c r="M172" i="2"/>
  <c r="W86" i="2" l="1"/>
  <c r="F87" i="2"/>
  <c r="Q171" i="2"/>
  <c r="O172" i="2"/>
  <c r="P172" i="2" s="1"/>
  <c r="M173" i="2"/>
  <c r="S173" i="2" s="1"/>
  <c r="L174" i="2"/>
  <c r="N174" i="2" s="1"/>
  <c r="A175" i="2"/>
  <c r="T174" i="2"/>
  <c r="C174" i="2"/>
  <c r="B174" i="2"/>
  <c r="D174" i="2"/>
  <c r="E175" i="2" s="1"/>
  <c r="M174" i="2" l="1"/>
  <c r="S174" i="2" s="1"/>
  <c r="U87" i="2"/>
  <c r="V87" i="2" s="1"/>
  <c r="Q172" i="2"/>
  <c r="O173" i="2"/>
  <c r="P173" i="2" s="1"/>
  <c r="D175" i="2"/>
  <c r="E176" i="2" s="1"/>
  <c r="B175" i="2"/>
  <c r="L175" i="2"/>
  <c r="N175" i="2" s="1"/>
  <c r="T175" i="2"/>
  <c r="C175" i="2"/>
  <c r="A176" i="2"/>
  <c r="M175" i="2" l="1"/>
  <c r="S175" i="2" s="1"/>
  <c r="W87" i="2"/>
  <c r="F88" i="2"/>
  <c r="Q173" i="2"/>
  <c r="O174" i="2"/>
  <c r="P174" i="2" s="1"/>
  <c r="B176" i="2"/>
  <c r="L176" i="2"/>
  <c r="D176" i="2"/>
  <c r="E177" i="2" s="1"/>
  <c r="C176" i="2"/>
  <c r="A177" i="2"/>
  <c r="S177" i="2" s="1"/>
  <c r="T176" i="2"/>
  <c r="M176" i="2" l="1"/>
  <c r="N176" i="2"/>
  <c r="U88" i="2"/>
  <c r="V88" i="2" s="1"/>
  <c r="T177" i="2"/>
  <c r="B177" i="2"/>
  <c r="C177" i="2"/>
  <c r="D177" i="2"/>
  <c r="E178" i="2" s="1"/>
  <c r="A178" i="2"/>
  <c r="S178" i="2" s="1"/>
  <c r="L177" i="2"/>
  <c r="Q174" i="2"/>
  <c r="O175" i="2"/>
  <c r="P175" i="2" s="1"/>
  <c r="S176" i="2" l="1"/>
  <c r="M177" i="2"/>
  <c r="N177" i="2"/>
  <c r="Q175" i="2"/>
  <c r="O176" i="2"/>
  <c r="P176" i="2" s="1"/>
  <c r="C178" i="2"/>
  <c r="A179" i="2"/>
  <c r="S179" i="2" s="1"/>
  <c r="L178" i="2"/>
  <c r="T178" i="2"/>
  <c r="B178" i="2"/>
  <c r="D178" i="2"/>
  <c r="E179" i="2" s="1"/>
  <c r="F89" i="2"/>
  <c r="W88" i="2"/>
  <c r="M178" i="2" l="1"/>
  <c r="N178" i="2"/>
  <c r="A180" i="2"/>
  <c r="S180" i="2" s="1"/>
  <c r="T179" i="2"/>
  <c r="B179" i="2"/>
  <c r="L179" i="2"/>
  <c r="C179" i="2"/>
  <c r="D179" i="2"/>
  <c r="E180" i="2" s="1"/>
  <c r="U89" i="2"/>
  <c r="V89" i="2" s="1"/>
  <c r="Q176" i="2"/>
  <c r="O177" i="2"/>
  <c r="P177" i="2" s="1"/>
  <c r="M179" i="2" l="1"/>
  <c r="W89" i="2"/>
  <c r="F90" i="2"/>
  <c r="B180" i="2"/>
  <c r="A181" i="2"/>
  <c r="S181" i="2" s="1"/>
  <c r="C180" i="2"/>
  <c r="T180" i="2"/>
  <c r="L180" i="2"/>
  <c r="D180" i="2"/>
  <c r="E181" i="2" s="1"/>
  <c r="N179" i="2"/>
  <c r="Q177" i="2"/>
  <c r="O178" i="2"/>
  <c r="P178" i="2" s="1"/>
  <c r="M180" i="2" l="1"/>
  <c r="T181" i="2"/>
  <c r="L181" i="2"/>
  <c r="A182" i="2"/>
  <c r="D181" i="2"/>
  <c r="E182" i="2" s="1"/>
  <c r="C181" i="2"/>
  <c r="B181" i="2"/>
  <c r="N180" i="2"/>
  <c r="Q178" i="2"/>
  <c r="O179" i="2"/>
  <c r="P179" i="2" s="1"/>
  <c r="U90" i="2"/>
  <c r="V90" i="2" s="1"/>
  <c r="M181" i="2" l="1"/>
  <c r="N181" i="2"/>
  <c r="Q179" i="2"/>
  <c r="O180" i="2"/>
  <c r="P180" i="2" s="1"/>
  <c r="L182" i="2"/>
  <c r="D182" i="2"/>
  <c r="E183" i="2" s="1"/>
  <c r="C182" i="2"/>
  <c r="A183" i="2"/>
  <c r="S183" i="2" s="1"/>
  <c r="B182" i="2"/>
  <c r="T182" i="2"/>
  <c r="F91" i="2"/>
  <c r="W90" i="2"/>
  <c r="M182" i="2" l="1"/>
  <c r="S182" i="2" s="1"/>
  <c r="O181" i="2"/>
  <c r="P181" i="2" s="1"/>
  <c r="N182" i="2"/>
  <c r="U91" i="2"/>
  <c r="V91" i="2" s="1"/>
  <c r="C183" i="2"/>
  <c r="B183" i="2"/>
  <c r="A184" i="2"/>
  <c r="S184" i="2" s="1"/>
  <c r="L183" i="2"/>
  <c r="T183" i="2"/>
  <c r="D183" i="2"/>
  <c r="E184" i="2" s="1"/>
  <c r="Q180" i="2"/>
  <c r="M183" i="2" l="1"/>
  <c r="Q181" i="2"/>
  <c r="O182" i="2"/>
  <c r="P182" i="2" s="1"/>
  <c r="F92" i="2"/>
  <c r="W91" i="2"/>
  <c r="B184" i="2"/>
  <c r="T184" i="2"/>
  <c r="D184" i="2"/>
  <c r="E185" i="2" s="1"/>
  <c r="C184" i="2"/>
  <c r="L184" i="2"/>
  <c r="A185" i="2"/>
  <c r="N183" i="2"/>
  <c r="M184" i="2" l="1"/>
  <c r="Q182" i="2"/>
  <c r="N184" i="2"/>
  <c r="U92" i="2"/>
  <c r="V92" i="2" s="1"/>
  <c r="L185" i="2"/>
  <c r="D185" i="2"/>
  <c r="E186" i="2" s="1"/>
  <c r="B185" i="2"/>
  <c r="A186" i="2"/>
  <c r="T185" i="2"/>
  <c r="C185" i="2"/>
  <c r="O183" i="2"/>
  <c r="P183" i="2" s="1"/>
  <c r="M185" i="2" l="1"/>
  <c r="N185" i="2"/>
  <c r="S185" i="2" s="1"/>
  <c r="F93" i="2"/>
  <c r="W92" i="2"/>
  <c r="Q183" i="2"/>
  <c r="O184" i="2"/>
  <c r="P184" i="2" s="1"/>
  <c r="L186" i="2"/>
  <c r="D186" i="2"/>
  <c r="E187" i="2" s="1"/>
  <c r="T186" i="2"/>
  <c r="B186" i="2"/>
  <c r="C186" i="2"/>
  <c r="A187" i="2"/>
  <c r="M186" i="2" l="1"/>
  <c r="N186" i="2"/>
  <c r="S186" i="2" s="1"/>
  <c r="T187" i="2"/>
  <c r="A188" i="2"/>
  <c r="B187" i="2"/>
  <c r="C187" i="2"/>
  <c r="L187" i="2"/>
  <c r="M187" i="2" s="1"/>
  <c r="D187" i="2"/>
  <c r="E188" i="2" s="1"/>
  <c r="Q184" i="2"/>
  <c r="O185" i="2"/>
  <c r="P185" i="2" s="1"/>
  <c r="U93" i="2"/>
  <c r="V93" i="2" s="1"/>
  <c r="N187" i="2" l="1"/>
  <c r="S187" i="2" s="1"/>
  <c r="F94" i="2"/>
  <c r="W93" i="2"/>
  <c r="Q185" i="2"/>
  <c r="O186" i="2"/>
  <c r="P186" i="2" s="1"/>
  <c r="B188" i="2"/>
  <c r="D188" i="2"/>
  <c r="E189" i="2" s="1"/>
  <c r="T188" i="2"/>
  <c r="C188" i="2"/>
  <c r="A189" i="2"/>
  <c r="S189" i="2" s="1"/>
  <c r="L188" i="2"/>
  <c r="N188" i="2" l="1"/>
  <c r="M188" i="2"/>
  <c r="T189" i="2"/>
  <c r="C189" i="2"/>
  <c r="D189" i="2"/>
  <c r="E190" i="2" s="1"/>
  <c r="B189" i="2"/>
  <c r="A190" i="2"/>
  <c r="S190" i="2" s="1"/>
  <c r="L189" i="2"/>
  <c r="Q186" i="2"/>
  <c r="O187" i="2"/>
  <c r="P187" i="2" s="1"/>
  <c r="U94" i="2"/>
  <c r="V94" i="2" s="1"/>
  <c r="S188" i="2" l="1"/>
  <c r="M189" i="2"/>
  <c r="W94" i="2"/>
  <c r="F95" i="2"/>
  <c r="B190" i="2"/>
  <c r="T190" i="2"/>
  <c r="A191" i="2"/>
  <c r="S191" i="2" s="1"/>
  <c r="L190" i="2"/>
  <c r="D190" i="2"/>
  <c r="E191" i="2" s="1"/>
  <c r="C190" i="2"/>
  <c r="N189" i="2"/>
  <c r="Q187" i="2"/>
  <c r="O188" i="2"/>
  <c r="P188" i="2" s="1"/>
  <c r="M190" i="2" l="1"/>
  <c r="U95" i="2"/>
  <c r="V95" i="2" s="1"/>
  <c r="Q188" i="2"/>
  <c r="O189" i="2"/>
  <c r="P189" i="2" s="1"/>
  <c r="N190" i="2"/>
  <c r="C191" i="2"/>
  <c r="B191" i="2"/>
  <c r="D191" i="2"/>
  <c r="E192" i="2" s="1"/>
  <c r="L191" i="2"/>
  <c r="A192" i="2"/>
  <c r="S192" i="2" s="1"/>
  <c r="T191" i="2"/>
  <c r="M191" i="2" l="1"/>
  <c r="W95" i="2"/>
  <c r="F96" i="2"/>
  <c r="N191" i="2"/>
  <c r="T192" i="2"/>
  <c r="D192" i="2"/>
  <c r="E193" i="2" s="1"/>
  <c r="L192" i="2"/>
  <c r="A193" i="2"/>
  <c r="S193" i="2" s="1"/>
  <c r="C192" i="2"/>
  <c r="B192" i="2"/>
  <c r="Q189" i="2"/>
  <c r="O190" i="2"/>
  <c r="P190" i="2" s="1"/>
  <c r="M192" i="2" l="1"/>
  <c r="D193" i="2"/>
  <c r="E194" i="2" s="1"/>
  <c r="A194" i="2"/>
  <c r="B193" i="2"/>
  <c r="L193" i="2"/>
  <c r="T193" i="2"/>
  <c r="C193" i="2"/>
  <c r="Q190" i="2"/>
  <c r="O191" i="2"/>
  <c r="P191" i="2" s="1"/>
  <c r="U96" i="2"/>
  <c r="V96" i="2" s="1"/>
  <c r="N192" i="2"/>
  <c r="M193" i="2" l="1"/>
  <c r="N193" i="2"/>
  <c r="F97" i="2"/>
  <c r="W96" i="2"/>
  <c r="Q191" i="2"/>
  <c r="O192" i="2"/>
  <c r="P192" i="2" s="1"/>
  <c r="A195" i="2"/>
  <c r="S195" i="2" s="1"/>
  <c r="L194" i="2"/>
  <c r="T194" i="2"/>
  <c r="B194" i="2"/>
  <c r="C194" i="2"/>
  <c r="D194" i="2"/>
  <c r="E195" i="2" s="1"/>
  <c r="M194" i="2" l="1"/>
  <c r="S194" i="2" s="1"/>
  <c r="O193" i="2"/>
  <c r="P193" i="2" s="1"/>
  <c r="N194" i="2"/>
  <c r="Q192" i="2"/>
  <c r="U97" i="2"/>
  <c r="V97" i="2" s="1"/>
  <c r="T195" i="2"/>
  <c r="B195" i="2"/>
  <c r="D195" i="2"/>
  <c r="E196" i="2" s="1"/>
  <c r="A196" i="2"/>
  <c r="S196" i="2" s="1"/>
  <c r="L195" i="2"/>
  <c r="C195" i="2"/>
  <c r="M195" i="2" l="1"/>
  <c r="O194" i="2"/>
  <c r="Q193" i="2"/>
  <c r="F98" i="2"/>
  <c r="W97" i="2"/>
  <c r="N195" i="2"/>
  <c r="B196" i="2"/>
  <c r="A197" i="2"/>
  <c r="C196" i="2"/>
  <c r="D196" i="2"/>
  <c r="E197" i="2" s="1"/>
  <c r="L196" i="2"/>
  <c r="T196" i="2"/>
  <c r="M196" i="2" l="1"/>
  <c r="P194" i="2"/>
  <c r="Q194" i="2" s="1"/>
  <c r="O195" i="2"/>
  <c r="U98" i="2"/>
  <c r="V98" i="2" s="1"/>
  <c r="L197" i="2"/>
  <c r="T197" i="2"/>
  <c r="A198" i="2"/>
  <c r="B197" i="2"/>
  <c r="D197" i="2"/>
  <c r="E198" i="2" s="1"/>
  <c r="C197" i="2"/>
  <c r="N196" i="2"/>
  <c r="M197" i="2" l="1"/>
  <c r="P195" i="2"/>
  <c r="Q195" i="2" s="1"/>
  <c r="N197" i="2"/>
  <c r="S197" i="2" s="1"/>
  <c r="F99" i="2"/>
  <c r="W98" i="2"/>
  <c r="L198" i="2"/>
  <c r="T198" i="2"/>
  <c r="B198" i="2"/>
  <c r="C198" i="2"/>
  <c r="D198" i="2"/>
  <c r="E199" i="2" s="1"/>
  <c r="A199" i="2"/>
  <c r="O196" i="2"/>
  <c r="P196" i="2" s="1"/>
  <c r="M198" i="2" l="1"/>
  <c r="C199" i="2"/>
  <c r="A200" i="2"/>
  <c r="D199" i="2"/>
  <c r="E200" i="2" s="1"/>
  <c r="L199" i="2"/>
  <c r="T199" i="2"/>
  <c r="B199" i="2"/>
  <c r="Q196" i="2"/>
  <c r="O197" i="2"/>
  <c r="P197" i="2" s="1"/>
  <c r="N198" i="2"/>
  <c r="S198" i="2" s="1"/>
  <c r="U99" i="2"/>
  <c r="V99" i="2" s="1"/>
  <c r="M199" i="2" l="1"/>
  <c r="N199" i="2"/>
  <c r="S199" i="2" s="1"/>
  <c r="Q197" i="2"/>
  <c r="O198" i="2"/>
  <c r="P198" i="2" s="1"/>
  <c r="B200" i="2"/>
  <c r="T200" i="2"/>
  <c r="C200" i="2"/>
  <c r="A201" i="2"/>
  <c r="S201" i="2" s="1"/>
  <c r="L200" i="2"/>
  <c r="D200" i="2"/>
  <c r="E201" i="2" s="1"/>
  <c r="W99" i="2"/>
  <c r="F100" i="2"/>
  <c r="M200" i="2" l="1"/>
  <c r="N200" i="2"/>
  <c r="U100" i="2"/>
  <c r="V100" i="2" s="1"/>
  <c r="D201" i="2"/>
  <c r="E202" i="2" s="1"/>
  <c r="L201" i="2"/>
  <c r="M201" i="2" s="1"/>
  <c r="B201" i="2"/>
  <c r="A202" i="2"/>
  <c r="S202" i="2" s="1"/>
  <c r="T201" i="2"/>
  <c r="C201" i="2"/>
  <c r="Q198" i="2"/>
  <c r="O199" i="2"/>
  <c r="P199" i="2" s="1"/>
  <c r="S200" i="2" l="1"/>
  <c r="A203" i="2"/>
  <c r="S203" i="2" s="1"/>
  <c r="D202" i="2"/>
  <c r="E203" i="2" s="1"/>
  <c r="C202" i="2"/>
  <c r="T202" i="2"/>
  <c r="B202" i="2"/>
  <c r="L202" i="2"/>
  <c r="M202" i="2" s="1"/>
  <c r="F101" i="2"/>
  <c r="W100" i="2"/>
  <c r="Q199" i="2"/>
  <c r="O200" i="2"/>
  <c r="P200" i="2" s="1"/>
  <c r="N201" i="2"/>
  <c r="Q200" i="2" l="1"/>
  <c r="O201" i="2"/>
  <c r="P201" i="2" s="1"/>
  <c r="N202" i="2"/>
  <c r="U101" i="2"/>
  <c r="V101" i="2" s="1"/>
  <c r="A204" i="2"/>
  <c r="S204" i="2" s="1"/>
  <c r="L203" i="2"/>
  <c r="M203" i="2" s="1"/>
  <c r="B203" i="2"/>
  <c r="C203" i="2"/>
  <c r="D203" i="2"/>
  <c r="E204" i="2" s="1"/>
  <c r="T203" i="2"/>
  <c r="Q201" i="2" l="1"/>
  <c r="O202" i="2"/>
  <c r="P202" i="2" s="1"/>
  <c r="F102" i="2"/>
  <c r="W101" i="2"/>
  <c r="L204" i="2"/>
  <c r="M204" i="2" s="1"/>
  <c r="T204" i="2"/>
  <c r="C204" i="2"/>
  <c r="D204" i="2"/>
  <c r="E205" i="2" s="1"/>
  <c r="B204" i="2"/>
  <c r="A205" i="2"/>
  <c r="S205" i="2" s="1"/>
  <c r="N203" i="2"/>
  <c r="Q202" i="2" l="1"/>
  <c r="O203" i="2"/>
  <c r="P203" i="2" s="1"/>
  <c r="N204" i="2"/>
  <c r="D205" i="2"/>
  <c r="E206" i="2" s="1"/>
  <c r="T205" i="2"/>
  <c r="B205" i="2"/>
  <c r="A206" i="2"/>
  <c r="C205" i="2"/>
  <c r="L205" i="2"/>
  <c r="M205" i="2" s="1"/>
  <c r="U102" i="2"/>
  <c r="V102" i="2" s="1"/>
  <c r="W102" i="2" l="1"/>
  <c r="F103" i="2"/>
  <c r="C206" i="2"/>
  <c r="B206" i="2"/>
  <c r="A207" i="2"/>
  <c r="S207" i="2" s="1"/>
  <c r="L206" i="2"/>
  <c r="M206" i="2" s="1"/>
  <c r="D206" i="2"/>
  <c r="E207" i="2" s="1"/>
  <c r="T206" i="2"/>
  <c r="N205" i="2"/>
  <c r="Q203" i="2"/>
  <c r="O204" i="2"/>
  <c r="P204" i="2" s="1"/>
  <c r="A208" i="2" l="1"/>
  <c r="S208" i="2" s="1"/>
  <c r="T207" i="2"/>
  <c r="L207" i="2"/>
  <c r="M207" i="2" s="1"/>
  <c r="D207" i="2"/>
  <c r="E208" i="2" s="1"/>
  <c r="C207" i="2"/>
  <c r="B207" i="2"/>
  <c r="N206" i="2"/>
  <c r="S206" i="2" s="1"/>
  <c r="U103" i="2"/>
  <c r="V103" i="2" s="1"/>
  <c r="Q204" i="2"/>
  <c r="O205" i="2"/>
  <c r="P205" i="2" s="1"/>
  <c r="F104" i="2" l="1"/>
  <c r="W103" i="2"/>
  <c r="Q205" i="2"/>
  <c r="O206" i="2"/>
  <c r="P206" i="2" s="1"/>
  <c r="N207" i="2"/>
  <c r="A209" i="2"/>
  <c r="D208" i="2"/>
  <c r="E209" i="2" s="1"/>
  <c r="C208" i="2"/>
  <c r="T208" i="2"/>
  <c r="L208" i="2"/>
  <c r="M208" i="2" s="1"/>
  <c r="B208" i="2"/>
  <c r="Q206" i="2" l="1"/>
  <c r="O207" i="2"/>
  <c r="P207" i="2" s="1"/>
  <c r="L209" i="2"/>
  <c r="M209" i="2" s="1"/>
  <c r="D209" i="2"/>
  <c r="E210" i="2" s="1"/>
  <c r="C209" i="2"/>
  <c r="T209" i="2"/>
  <c r="A210" i="2"/>
  <c r="B209" i="2"/>
  <c r="N208" i="2"/>
  <c r="U104" i="2"/>
  <c r="V104" i="2" s="1"/>
  <c r="N209" i="2" l="1"/>
  <c r="S209" i="2" s="1"/>
  <c r="F105" i="2"/>
  <c r="W104" i="2"/>
  <c r="Q207" i="2"/>
  <c r="O208" i="2"/>
  <c r="P208" i="2" s="1"/>
  <c r="B210" i="2"/>
  <c r="D210" i="2"/>
  <c r="E211" i="2" s="1"/>
  <c r="T210" i="2"/>
  <c r="L210" i="2"/>
  <c r="M210" i="2" s="1"/>
  <c r="A211" i="2"/>
  <c r="C210" i="2"/>
  <c r="N210" i="2" l="1"/>
  <c r="S210" i="2" s="1"/>
  <c r="D211" i="2"/>
  <c r="E212" i="2" s="1"/>
  <c r="L211" i="2"/>
  <c r="M211" i="2" s="1"/>
  <c r="C211" i="2"/>
  <c r="A212" i="2"/>
  <c r="T211" i="2"/>
  <c r="B211" i="2"/>
  <c r="Q208" i="2"/>
  <c r="O209" i="2"/>
  <c r="P209" i="2" s="1"/>
  <c r="U105" i="2"/>
  <c r="V105" i="2" s="1"/>
  <c r="N211" i="2" l="1"/>
  <c r="S211" i="2" s="1"/>
  <c r="A213" i="2"/>
  <c r="S213" i="2" s="1"/>
  <c r="C212" i="2"/>
  <c r="B212" i="2"/>
  <c r="L212" i="2"/>
  <c r="M212" i="2" s="1"/>
  <c r="T212" i="2"/>
  <c r="D212" i="2"/>
  <c r="E213" i="2" s="1"/>
  <c r="W105" i="2"/>
  <c r="F106" i="2"/>
  <c r="Q209" i="2"/>
  <c r="O210" i="2"/>
  <c r="P210" i="2" s="1"/>
  <c r="N212" i="2" l="1"/>
  <c r="S212" i="2" s="1"/>
  <c r="U106" i="2"/>
  <c r="V106" i="2" s="1"/>
  <c r="Q210" i="2"/>
  <c r="O211" i="2"/>
  <c r="P211" i="2" s="1"/>
  <c r="T213" i="2"/>
  <c r="L213" i="2"/>
  <c r="M213" i="2" s="1"/>
  <c r="A214" i="2"/>
  <c r="S214" i="2" s="1"/>
  <c r="C213" i="2"/>
  <c r="D213" i="2"/>
  <c r="E214" i="2" s="1"/>
  <c r="B213" i="2"/>
  <c r="Q211" i="2" l="1"/>
  <c r="O212" i="2"/>
  <c r="P212" i="2" s="1"/>
  <c r="W106" i="2"/>
  <c r="F107" i="2"/>
  <c r="N213" i="2"/>
  <c r="B214" i="2"/>
  <c r="A215" i="2"/>
  <c r="S215" i="2" s="1"/>
  <c r="C214" i="2"/>
  <c r="L214" i="2"/>
  <c r="M214" i="2" s="1"/>
  <c r="T214" i="2"/>
  <c r="D214" i="2"/>
  <c r="E215" i="2" s="1"/>
  <c r="N214" i="2" l="1"/>
  <c r="L215" i="2"/>
  <c r="M215" i="2" s="1"/>
  <c r="T215" i="2"/>
  <c r="B215" i="2"/>
  <c r="C215" i="2"/>
  <c r="D215" i="2"/>
  <c r="E216" i="2" s="1"/>
  <c r="A216" i="2"/>
  <c r="S216" i="2" s="1"/>
  <c r="Q212" i="2"/>
  <c r="O213" i="2"/>
  <c r="P213" i="2" s="1"/>
  <c r="U107" i="2"/>
  <c r="V107" i="2" s="1"/>
  <c r="N215" i="2" l="1"/>
  <c r="W107" i="2"/>
  <c r="F108" i="2"/>
  <c r="A217" i="2"/>
  <c r="S217" i="2" s="1"/>
  <c r="C216" i="2"/>
  <c r="T216" i="2"/>
  <c r="D216" i="2"/>
  <c r="E217" i="2" s="1"/>
  <c r="B216" i="2"/>
  <c r="L216" i="2"/>
  <c r="M216" i="2" s="1"/>
  <c r="Q213" i="2"/>
  <c r="O214" i="2"/>
  <c r="P214" i="2" s="1"/>
  <c r="N216" i="2" l="1"/>
  <c r="Q214" i="2"/>
  <c r="O215" i="2"/>
  <c r="P215" i="2" s="1"/>
  <c r="L217" i="2"/>
  <c r="M217" i="2" s="1"/>
  <c r="C217" i="2"/>
  <c r="A218" i="2"/>
  <c r="D217" i="2"/>
  <c r="E218" i="2" s="1"/>
  <c r="B217" i="2"/>
  <c r="T217" i="2"/>
  <c r="U108" i="2"/>
  <c r="V108" i="2" s="1"/>
  <c r="N217" i="2" l="1"/>
  <c r="F109" i="2"/>
  <c r="W108" i="2"/>
  <c r="L218" i="2"/>
  <c r="M218" i="2" s="1"/>
  <c r="D218" i="2"/>
  <c r="E219" i="2" s="1"/>
  <c r="B218" i="2"/>
  <c r="A219" i="2"/>
  <c r="S219" i="2" s="1"/>
  <c r="T218" i="2"/>
  <c r="C218" i="2"/>
  <c r="Q215" i="2"/>
  <c r="O216" i="2"/>
  <c r="P216" i="2" s="1"/>
  <c r="O217" i="2" l="1"/>
  <c r="P217" i="2" s="1"/>
  <c r="N218" i="2"/>
  <c r="S218" i="2" s="1"/>
  <c r="B219" i="2"/>
  <c r="C219" i="2"/>
  <c r="D219" i="2"/>
  <c r="E220" i="2" s="1"/>
  <c r="A220" i="2"/>
  <c r="S220" i="2" s="1"/>
  <c r="T219" i="2"/>
  <c r="L219" i="2"/>
  <c r="M219" i="2" s="1"/>
  <c r="Q216" i="2"/>
  <c r="U109" i="2"/>
  <c r="V109" i="2" s="1"/>
  <c r="O218" i="2" l="1"/>
  <c r="Q217" i="2"/>
  <c r="N219" i="2"/>
  <c r="F110" i="2"/>
  <c r="W109" i="2"/>
  <c r="C220" i="2"/>
  <c r="D220" i="2"/>
  <c r="E221" i="2" s="1"/>
  <c r="T220" i="2"/>
  <c r="A221" i="2"/>
  <c r="B220" i="2"/>
  <c r="L220" i="2"/>
  <c r="P218" i="2" l="1"/>
  <c r="Q218" i="2" s="1"/>
  <c r="O219" i="2"/>
  <c r="N220" i="2"/>
  <c r="U110" i="2"/>
  <c r="V110" i="2" s="1"/>
  <c r="M220" i="2"/>
  <c r="T221" i="2"/>
  <c r="L221" i="2"/>
  <c r="D221" i="2"/>
  <c r="E222" i="2" s="1"/>
  <c r="C221" i="2"/>
  <c r="A222" i="2"/>
  <c r="B221" i="2"/>
  <c r="N221" i="2" l="1"/>
  <c r="P219" i="2"/>
  <c r="Q219" i="2" s="1"/>
  <c r="A223" i="2"/>
  <c r="L222" i="2"/>
  <c r="B222" i="2"/>
  <c r="C222" i="2"/>
  <c r="T222" i="2"/>
  <c r="D222" i="2"/>
  <c r="E223" i="2" s="1"/>
  <c r="W110" i="2"/>
  <c r="F111" i="2"/>
  <c r="M221" i="2"/>
  <c r="S221" i="2" s="1"/>
  <c r="O220" i="2"/>
  <c r="P220" i="2" s="1"/>
  <c r="N222" i="2" l="1"/>
  <c r="C223" i="2"/>
  <c r="D223" i="2"/>
  <c r="E224" i="2" s="1"/>
  <c r="T223" i="2"/>
  <c r="L223" i="2"/>
  <c r="A224" i="2"/>
  <c r="B223" i="2"/>
  <c r="M222" i="2"/>
  <c r="S222" i="2" s="1"/>
  <c r="Q220" i="2"/>
  <c r="O221" i="2"/>
  <c r="P221" i="2" s="1"/>
  <c r="U111" i="2"/>
  <c r="V111" i="2" s="1"/>
  <c r="N223" i="2" l="1"/>
  <c r="F112" i="2"/>
  <c r="W111" i="2"/>
  <c r="Q221" i="2"/>
  <c r="O222" i="2"/>
  <c r="P222" i="2" s="1"/>
  <c r="M223" i="2"/>
  <c r="S223" i="2" s="1"/>
  <c r="L224" i="2"/>
  <c r="N224" i="2" s="1"/>
  <c r="A225" i="2"/>
  <c r="S225" i="2" s="1"/>
  <c r="B224" i="2"/>
  <c r="D224" i="2"/>
  <c r="E225" i="2" s="1"/>
  <c r="T224" i="2"/>
  <c r="C224" i="2"/>
  <c r="M224" i="2" l="1"/>
  <c r="S224" i="2" s="1"/>
  <c r="T225" i="2"/>
  <c r="A226" i="2"/>
  <c r="S226" i="2" s="1"/>
  <c r="B225" i="2"/>
  <c r="D225" i="2"/>
  <c r="E226" i="2" s="1"/>
  <c r="C225" i="2"/>
  <c r="L225" i="2"/>
  <c r="U112" i="2"/>
  <c r="V112" i="2" s="1"/>
  <c r="Q222" i="2"/>
  <c r="O223" i="2"/>
  <c r="P223" i="2" s="1"/>
  <c r="M225" i="2" l="1"/>
  <c r="N225" i="2"/>
  <c r="F113" i="2"/>
  <c r="W112" i="2"/>
  <c r="Q223" i="2"/>
  <c r="O224" i="2"/>
  <c r="P224" i="2" s="1"/>
  <c r="T226" i="2"/>
  <c r="B226" i="2"/>
  <c r="D226" i="2"/>
  <c r="E227" i="2" s="1"/>
  <c r="C226" i="2"/>
  <c r="A227" i="2"/>
  <c r="S227" i="2" s="1"/>
  <c r="L226" i="2"/>
  <c r="M226" i="2" l="1"/>
  <c r="N226" i="2"/>
  <c r="C227" i="2"/>
  <c r="A228" i="2"/>
  <c r="S228" i="2" s="1"/>
  <c r="D227" i="2"/>
  <c r="E228" i="2" s="1"/>
  <c r="B227" i="2"/>
  <c r="L227" i="2"/>
  <c r="T227" i="2"/>
  <c r="U113" i="2"/>
  <c r="V113" i="2" s="1"/>
  <c r="Q224" i="2"/>
  <c r="O225" i="2"/>
  <c r="P225" i="2" s="1"/>
  <c r="M227" i="2" l="1"/>
  <c r="N227" i="2"/>
  <c r="Q225" i="2"/>
  <c r="O226" i="2"/>
  <c r="P226" i="2" s="1"/>
  <c r="W113" i="2"/>
  <c r="F114" i="2"/>
  <c r="T228" i="2"/>
  <c r="C228" i="2"/>
  <c r="D228" i="2"/>
  <c r="E229" i="2" s="1"/>
  <c r="A229" i="2"/>
  <c r="S229" i="2" s="1"/>
  <c r="L228" i="2"/>
  <c r="B228" i="2"/>
  <c r="M228" i="2" l="1"/>
  <c r="N228" i="2"/>
  <c r="B229" i="2"/>
  <c r="L229" i="2"/>
  <c r="T229" i="2"/>
  <c r="C229" i="2"/>
  <c r="D229" i="2"/>
  <c r="E230" i="2" s="1"/>
  <c r="A230" i="2"/>
  <c r="U114" i="2"/>
  <c r="V114" i="2" s="1"/>
  <c r="Q226" i="2"/>
  <c r="O227" i="2"/>
  <c r="P227" i="2" s="1"/>
  <c r="M229" i="2" l="1"/>
  <c r="W114" i="2"/>
  <c r="F115" i="2"/>
  <c r="Q227" i="2"/>
  <c r="O228" i="2"/>
  <c r="P228" i="2" s="1"/>
  <c r="C230" i="2"/>
  <c r="L230" i="2"/>
  <c r="B230" i="2"/>
  <c r="D230" i="2"/>
  <c r="E231" i="2" s="1"/>
  <c r="A231" i="2"/>
  <c r="S231" i="2" s="1"/>
  <c r="T230" i="2"/>
  <c r="N229" i="2"/>
  <c r="M230" i="2" l="1"/>
  <c r="Q228" i="2"/>
  <c r="N230" i="2"/>
  <c r="B231" i="2"/>
  <c r="L231" i="2"/>
  <c r="C231" i="2"/>
  <c r="A232" i="2"/>
  <c r="S232" i="2" s="1"/>
  <c r="T231" i="2"/>
  <c r="D231" i="2"/>
  <c r="E232" i="2" s="1"/>
  <c r="O229" i="2"/>
  <c r="P229" i="2" s="1"/>
  <c r="U115" i="2"/>
  <c r="V115" i="2" s="1"/>
  <c r="S230" i="2" l="1"/>
  <c r="M231" i="2"/>
  <c r="N231" i="2"/>
  <c r="F116" i="2"/>
  <c r="W115" i="2"/>
  <c r="Q229" i="2"/>
  <c r="O230" i="2"/>
  <c r="P230" i="2" s="1"/>
  <c r="T232" i="2"/>
  <c r="B232" i="2"/>
  <c r="L232" i="2"/>
  <c r="A233" i="2"/>
  <c r="C232" i="2"/>
  <c r="D232" i="2"/>
  <c r="E233" i="2" s="1"/>
  <c r="M232" i="2" l="1"/>
  <c r="Q230" i="2"/>
  <c r="O231" i="2"/>
  <c r="P231" i="2" s="1"/>
  <c r="N232" i="2"/>
  <c r="B233" i="2"/>
  <c r="A234" i="2"/>
  <c r="T233" i="2"/>
  <c r="C233" i="2"/>
  <c r="D233" i="2"/>
  <c r="E234" i="2" s="1"/>
  <c r="L233" i="2"/>
  <c r="U116" i="2"/>
  <c r="V116" i="2" s="1"/>
  <c r="M233" i="2" l="1"/>
  <c r="W116" i="2"/>
  <c r="F117" i="2"/>
  <c r="Q231" i="2"/>
  <c r="O232" i="2"/>
  <c r="P232" i="2" s="1"/>
  <c r="B234" i="2"/>
  <c r="L234" i="2"/>
  <c r="M234" i="2" s="1"/>
  <c r="C234" i="2"/>
  <c r="T234" i="2"/>
  <c r="D234" i="2"/>
  <c r="E235" i="2" s="1"/>
  <c r="A235" i="2"/>
  <c r="N233" i="2"/>
  <c r="S233" i="2" s="1"/>
  <c r="D235" i="2" l="1"/>
  <c r="E236" i="2" s="1"/>
  <c r="B235" i="2"/>
  <c r="T235" i="2"/>
  <c r="L235" i="2"/>
  <c r="M235" i="2" s="1"/>
  <c r="A236" i="2"/>
  <c r="C235" i="2"/>
  <c r="Q232" i="2"/>
  <c r="O233" i="2"/>
  <c r="P233" i="2" s="1"/>
  <c r="U117" i="2"/>
  <c r="V117" i="2" s="1"/>
  <c r="N234" i="2"/>
  <c r="S234" i="2" s="1"/>
  <c r="N235" i="2" l="1"/>
  <c r="S235" i="2" s="1"/>
  <c r="Q233" i="2"/>
  <c r="O234" i="2"/>
  <c r="P234" i="2" s="1"/>
  <c r="F118" i="2"/>
  <c r="W117" i="2"/>
  <c r="T236" i="2"/>
  <c r="A237" i="2"/>
  <c r="S237" i="2" s="1"/>
  <c r="B236" i="2"/>
  <c r="L236" i="2"/>
  <c r="M236" i="2" s="1"/>
  <c r="C236" i="2"/>
  <c r="D236" i="2"/>
  <c r="E237" i="2" s="1"/>
  <c r="N236" i="2" l="1"/>
  <c r="S236" i="2" s="1"/>
  <c r="U118" i="2"/>
  <c r="V118" i="2" s="1"/>
  <c r="B237" i="2"/>
  <c r="L237" i="2"/>
  <c r="D237" i="2"/>
  <c r="E238" i="2" s="1"/>
  <c r="A238" i="2"/>
  <c r="S238" i="2" s="1"/>
  <c r="T237" i="2"/>
  <c r="C237" i="2"/>
  <c r="Q234" i="2"/>
  <c r="O235" i="2"/>
  <c r="P235" i="2" s="1"/>
  <c r="N237" i="2" l="1"/>
  <c r="W118" i="2"/>
  <c r="F119" i="2"/>
  <c r="Q235" i="2"/>
  <c r="O236" i="2"/>
  <c r="P236" i="2" s="1"/>
  <c r="B238" i="2"/>
  <c r="A239" i="2"/>
  <c r="S239" i="2" s="1"/>
  <c r="C238" i="2"/>
  <c r="L238" i="2"/>
  <c r="D238" i="2"/>
  <c r="E239" i="2" s="1"/>
  <c r="T238" i="2"/>
  <c r="M237" i="2"/>
  <c r="N238" i="2" l="1"/>
  <c r="M238" i="2"/>
  <c r="Q236" i="2"/>
  <c r="O237" i="2"/>
  <c r="P237" i="2" s="1"/>
  <c r="U119" i="2"/>
  <c r="V119" i="2" s="1"/>
  <c r="L239" i="2"/>
  <c r="T239" i="2"/>
  <c r="C239" i="2"/>
  <c r="A240" i="2"/>
  <c r="S240" i="2" s="1"/>
  <c r="B239" i="2"/>
  <c r="D239" i="2"/>
  <c r="E240" i="2" s="1"/>
  <c r="N239" i="2" l="1"/>
  <c r="M239" i="2"/>
  <c r="W119" i="2"/>
  <c r="F120" i="2"/>
  <c r="B240" i="2"/>
  <c r="A241" i="2"/>
  <c r="S241" i="2" s="1"/>
  <c r="T240" i="2"/>
  <c r="D240" i="2"/>
  <c r="E241" i="2" s="1"/>
  <c r="C240" i="2"/>
  <c r="L240" i="2"/>
  <c r="Q237" i="2"/>
  <c r="O238" i="2"/>
  <c r="P238" i="2" s="1"/>
  <c r="N240" i="2" l="1"/>
  <c r="M240" i="2"/>
  <c r="Q238" i="2"/>
  <c r="O239" i="2"/>
  <c r="P239" i="2" s="1"/>
  <c r="B241" i="2"/>
  <c r="T241" i="2"/>
  <c r="D241" i="2"/>
  <c r="E242" i="2" s="1"/>
  <c r="L241" i="2"/>
  <c r="A242" i="2"/>
  <c r="C241" i="2"/>
  <c r="U120" i="2"/>
  <c r="V120" i="2" s="1"/>
  <c r="N241" i="2" l="1"/>
  <c r="M241" i="2"/>
  <c r="F121" i="2"/>
  <c r="W120" i="2"/>
  <c r="B242" i="2"/>
  <c r="C242" i="2"/>
  <c r="D242" i="2"/>
  <c r="E243" i="2" s="1"/>
  <c r="L242" i="2"/>
  <c r="T242" i="2"/>
  <c r="A243" i="2"/>
  <c r="S243" i="2" s="1"/>
  <c r="Q239" i="2"/>
  <c r="O240" i="2"/>
  <c r="P240" i="2" s="1"/>
  <c r="N242" i="2" l="1"/>
  <c r="O241" i="2"/>
  <c r="P241" i="2" s="1"/>
  <c r="M242" i="2"/>
  <c r="S242" i="2" s="1"/>
  <c r="Q240" i="2"/>
  <c r="L243" i="2"/>
  <c r="T243" i="2"/>
  <c r="C243" i="2"/>
  <c r="B243" i="2"/>
  <c r="A244" i="2"/>
  <c r="S244" i="2" s="1"/>
  <c r="D243" i="2"/>
  <c r="E244" i="2" s="1"/>
  <c r="U121" i="2"/>
  <c r="C32" i="1" s="1"/>
  <c r="Q241" i="2" l="1"/>
  <c r="O242" i="2"/>
  <c r="P242" i="2" s="1"/>
  <c r="V121" i="2"/>
  <c r="F122" i="2" s="1"/>
  <c r="M243" i="2"/>
  <c r="N243" i="2"/>
  <c r="B244" i="2"/>
  <c r="D244" i="2"/>
  <c r="E245" i="2" s="1"/>
  <c r="C244" i="2"/>
  <c r="T244" i="2"/>
  <c r="L244" i="2"/>
  <c r="A245" i="2"/>
  <c r="Q242" i="2" l="1"/>
  <c r="W121" i="2"/>
  <c r="C31" i="1"/>
  <c r="M244" i="2"/>
  <c r="O243" i="2"/>
  <c r="P243" i="2" s="1"/>
  <c r="B245" i="2"/>
  <c r="L245" i="2"/>
  <c r="T245" i="2"/>
  <c r="D245" i="2"/>
  <c r="E246" i="2" s="1"/>
  <c r="C245" i="2"/>
  <c r="A246" i="2"/>
  <c r="N244" i="2"/>
  <c r="U122" i="2"/>
  <c r="V122" i="2" s="1"/>
  <c r="Q243" i="2" l="1"/>
  <c r="M245" i="2"/>
  <c r="O244" i="2"/>
  <c r="P244" i="2" s="1"/>
  <c r="N245" i="2"/>
  <c r="F123" i="2"/>
  <c r="W122" i="2"/>
  <c r="A247" i="2"/>
  <c r="D246" i="2"/>
  <c r="E247" i="2" s="1"/>
  <c r="B246" i="2"/>
  <c r="T246" i="2"/>
  <c r="L246" i="2"/>
  <c r="C246" i="2"/>
  <c r="Q244" i="2" l="1"/>
  <c r="S245" i="2"/>
  <c r="M246" i="2"/>
  <c r="O245" i="2"/>
  <c r="P245" i="2" s="1"/>
  <c r="N246" i="2"/>
  <c r="L247" i="2"/>
  <c r="D247" i="2"/>
  <c r="E248" i="2" s="1"/>
  <c r="T247" i="2"/>
  <c r="A248" i="2"/>
  <c r="C247" i="2"/>
  <c r="B247" i="2"/>
  <c r="U123" i="2"/>
  <c r="V123" i="2" s="1"/>
  <c r="Q245" i="2" l="1"/>
  <c r="S246" i="2"/>
  <c r="M247" i="2"/>
  <c r="O246" i="2"/>
  <c r="P246" i="2" s="1"/>
  <c r="N247" i="2"/>
  <c r="W123" i="2"/>
  <c r="F124" i="2"/>
  <c r="C248" i="2"/>
  <c r="D248" i="2"/>
  <c r="E249" i="2" s="1"/>
  <c r="T248" i="2"/>
  <c r="L248" i="2"/>
  <c r="B248" i="2"/>
  <c r="A249" i="2"/>
  <c r="S249" i="2" s="1"/>
  <c r="S247" i="2" l="1"/>
  <c r="Q246" i="2"/>
  <c r="O247" i="2"/>
  <c r="P247" i="2" s="1"/>
  <c r="N248" i="2"/>
  <c r="M248" i="2"/>
  <c r="S248" i="2" s="1"/>
  <c r="L249" i="2"/>
  <c r="C249" i="2"/>
  <c r="A250" i="2"/>
  <c r="S250" i="2" s="1"/>
  <c r="B249" i="2"/>
  <c r="D249" i="2"/>
  <c r="E250" i="2" s="1"/>
  <c r="T249" i="2"/>
  <c r="U124" i="2"/>
  <c r="V124" i="2" s="1"/>
  <c r="Q247" i="2" l="1"/>
  <c r="M249" i="2"/>
  <c r="N249" i="2"/>
  <c r="O248" i="2"/>
  <c r="P248" i="2" s="1"/>
  <c r="W124" i="2"/>
  <c r="F125" i="2"/>
  <c r="B250" i="2"/>
  <c r="T250" i="2"/>
  <c r="A251" i="2"/>
  <c r="S251" i="2" s="1"/>
  <c r="C250" i="2"/>
  <c r="L250" i="2"/>
  <c r="D250" i="2"/>
  <c r="E251" i="2" s="1"/>
  <c r="Q248" i="2" l="1"/>
  <c r="M250" i="2"/>
  <c r="O249" i="2"/>
  <c r="P249" i="2" s="1"/>
  <c r="N250" i="2"/>
  <c r="U125" i="2"/>
  <c r="V125" i="2" s="1"/>
  <c r="C251" i="2"/>
  <c r="T251" i="2"/>
  <c r="D251" i="2"/>
  <c r="E252" i="2" s="1"/>
  <c r="B251" i="2"/>
  <c r="L251" i="2"/>
  <c r="A252" i="2"/>
  <c r="S252" i="2" s="1"/>
  <c r="M251" i="2" l="1"/>
  <c r="Q249" i="2"/>
  <c r="O250" i="2"/>
  <c r="P250" i="2" s="1"/>
  <c r="N251" i="2"/>
  <c r="W125" i="2"/>
  <c r="F126" i="2"/>
  <c r="L252" i="2"/>
  <c r="T252" i="2"/>
  <c r="C252" i="2"/>
  <c r="B252" i="2"/>
  <c r="A253" i="2"/>
  <c r="S253" i="2" s="1"/>
  <c r="D252" i="2"/>
  <c r="E253" i="2" s="1"/>
  <c r="Q250" i="2" l="1"/>
  <c r="O251" i="2"/>
  <c r="P251" i="2" s="1"/>
  <c r="N252" i="2"/>
  <c r="M252" i="2"/>
  <c r="B253" i="2"/>
  <c r="T253" i="2"/>
  <c r="D253" i="2"/>
  <c r="E254" i="2" s="1"/>
  <c r="A254" i="2"/>
  <c r="L253" i="2"/>
  <c r="C253" i="2"/>
  <c r="U126" i="2"/>
  <c r="V126" i="2" s="1"/>
  <c r="Q251" i="2" l="1"/>
  <c r="N253" i="2"/>
  <c r="O252" i="2"/>
  <c r="P252" i="2" s="1"/>
  <c r="F127" i="2"/>
  <c r="W126" i="2"/>
  <c r="M253" i="2"/>
  <c r="C254" i="2"/>
  <c r="B254" i="2"/>
  <c r="A255" i="2"/>
  <c r="S255" i="2" s="1"/>
  <c r="T254" i="2"/>
  <c r="L254" i="2"/>
  <c r="D254" i="2"/>
  <c r="E255" i="2" s="1"/>
  <c r="Q252" i="2" l="1"/>
  <c r="N254" i="2"/>
  <c r="T255" i="2"/>
  <c r="D255" i="2"/>
  <c r="E256" i="2" s="1"/>
  <c r="A256" i="2"/>
  <c r="S256" i="2" s="1"/>
  <c r="L255" i="2"/>
  <c r="C255" i="2"/>
  <c r="B255" i="2"/>
  <c r="M254" i="2"/>
  <c r="O253" i="2"/>
  <c r="P253" i="2" s="1"/>
  <c r="U127" i="2"/>
  <c r="V127" i="2" s="1"/>
  <c r="N255" i="2" l="1"/>
  <c r="S254" i="2"/>
  <c r="Q253" i="2"/>
  <c r="O254" i="2"/>
  <c r="P254" i="2" s="1"/>
  <c r="M255" i="2"/>
  <c r="W127" i="2"/>
  <c r="F128" i="2"/>
  <c r="C256" i="2"/>
  <c r="A257" i="2"/>
  <c r="T256" i="2"/>
  <c r="D256" i="2"/>
  <c r="E257" i="2" s="1"/>
  <c r="B256" i="2"/>
  <c r="L256" i="2"/>
  <c r="N256" i="2" s="1"/>
  <c r="U128" i="2" l="1"/>
  <c r="V128" i="2" s="1"/>
  <c r="Q254" i="2"/>
  <c r="O255" i="2"/>
  <c r="P255" i="2" s="1"/>
  <c r="D257" i="2"/>
  <c r="E258" i="2" s="1"/>
  <c r="B257" i="2"/>
  <c r="T257" i="2"/>
  <c r="A258" i="2"/>
  <c r="L257" i="2"/>
  <c r="N257" i="2" s="1"/>
  <c r="C257" i="2"/>
  <c r="M256" i="2"/>
  <c r="F129" i="2" l="1"/>
  <c r="W128" i="2"/>
  <c r="M257" i="2"/>
  <c r="S257" i="2" s="1"/>
  <c r="L258" i="2"/>
  <c r="N258" i="2" s="1"/>
  <c r="T258" i="2"/>
  <c r="B258" i="2"/>
  <c r="D258" i="2"/>
  <c r="E259" i="2" s="1"/>
  <c r="C258" i="2"/>
  <c r="A259" i="2"/>
  <c r="Q255" i="2"/>
  <c r="O256" i="2"/>
  <c r="P256" i="2" s="1"/>
  <c r="A260" i="2" l="1"/>
  <c r="C259" i="2"/>
  <c r="D259" i="2"/>
  <c r="E260" i="2" s="1"/>
  <c r="T259" i="2"/>
  <c r="B259" i="2"/>
  <c r="L259" i="2"/>
  <c r="N259" i="2" s="1"/>
  <c r="M258" i="2"/>
  <c r="S258" i="2" s="1"/>
  <c r="Q256" i="2"/>
  <c r="O257" i="2"/>
  <c r="P257" i="2" s="1"/>
  <c r="U129" i="2"/>
  <c r="V129" i="2" s="1"/>
  <c r="F130" i="2" l="1"/>
  <c r="W129" i="2"/>
  <c r="Q257" i="2"/>
  <c r="O258" i="2"/>
  <c r="P258" i="2" s="1"/>
  <c r="M259" i="2"/>
  <c r="S259" i="2" s="1"/>
  <c r="D260" i="2"/>
  <c r="E261" i="2" s="1"/>
  <c r="C260" i="2"/>
  <c r="T260" i="2"/>
  <c r="A261" i="2"/>
  <c r="S261" i="2" s="1"/>
  <c r="B260" i="2"/>
  <c r="L260" i="2"/>
  <c r="N260" i="2" s="1"/>
  <c r="M260" i="2" l="1"/>
  <c r="S260" i="2" s="1"/>
  <c r="Q258" i="2"/>
  <c r="O259" i="2"/>
  <c r="P259" i="2" s="1"/>
  <c r="T261" i="2"/>
  <c r="B261" i="2"/>
  <c r="L261" i="2"/>
  <c r="N261" i="2" s="1"/>
  <c r="D261" i="2"/>
  <c r="E262" i="2" s="1"/>
  <c r="C261" i="2"/>
  <c r="A262" i="2"/>
  <c r="S262" i="2" s="1"/>
  <c r="U130" i="2"/>
  <c r="V130" i="2" s="1"/>
  <c r="M261" i="2" l="1"/>
  <c r="W130" i="2"/>
  <c r="F131" i="2"/>
  <c r="A263" i="2"/>
  <c r="S263" i="2" s="1"/>
  <c r="C262" i="2"/>
  <c r="D262" i="2"/>
  <c r="E263" i="2" s="1"/>
  <c r="B262" i="2"/>
  <c r="L262" i="2"/>
  <c r="T262" i="2"/>
  <c r="Q259" i="2"/>
  <c r="O260" i="2"/>
  <c r="P260" i="2" s="1"/>
  <c r="M262" i="2" l="1"/>
  <c r="N262" i="2"/>
  <c r="Q260" i="2"/>
  <c r="O261" i="2"/>
  <c r="P261" i="2" s="1"/>
  <c r="U131" i="2"/>
  <c r="V131" i="2" s="1"/>
  <c r="B263" i="2"/>
  <c r="A264" i="2"/>
  <c r="S264" i="2" s="1"/>
  <c r="D263" i="2"/>
  <c r="E264" i="2" s="1"/>
  <c r="T263" i="2"/>
  <c r="C263" i="2"/>
  <c r="L263" i="2"/>
  <c r="M263" i="2" l="1"/>
  <c r="N263" i="2"/>
  <c r="W131" i="2"/>
  <c r="F132" i="2"/>
  <c r="B264" i="2"/>
  <c r="A265" i="2"/>
  <c r="S265" i="2" s="1"/>
  <c r="D264" i="2"/>
  <c r="E265" i="2" s="1"/>
  <c r="C264" i="2"/>
  <c r="T264" i="2"/>
  <c r="L264" i="2"/>
  <c r="Q261" i="2"/>
  <c r="O262" i="2"/>
  <c r="P262" i="2" s="1"/>
  <c r="M264" i="2" l="1"/>
  <c r="N264" i="2"/>
  <c r="U132" i="2"/>
  <c r="V132" i="2" s="1"/>
  <c r="A266" i="2"/>
  <c r="T265" i="2"/>
  <c r="L265" i="2"/>
  <c r="D265" i="2"/>
  <c r="E266" i="2" s="1"/>
  <c r="C265" i="2"/>
  <c r="B265" i="2"/>
  <c r="Q262" i="2"/>
  <c r="O263" i="2"/>
  <c r="P263" i="2" s="1"/>
  <c r="N265" i="2" l="1"/>
  <c r="F133" i="2"/>
  <c r="W132" i="2"/>
  <c r="B266" i="2"/>
  <c r="L266" i="2"/>
  <c r="C266" i="2"/>
  <c r="A267" i="2"/>
  <c r="S267" i="2" s="1"/>
  <c r="D266" i="2"/>
  <c r="E267" i="2" s="1"/>
  <c r="T266" i="2"/>
  <c r="M265" i="2"/>
  <c r="Q263" i="2"/>
  <c r="O264" i="2"/>
  <c r="P264" i="2" s="1"/>
  <c r="N266" i="2" l="1"/>
  <c r="Q264" i="2"/>
  <c r="M266" i="2"/>
  <c r="S266" i="2" s="1"/>
  <c r="O265" i="2"/>
  <c r="P265" i="2" s="1"/>
  <c r="U133" i="2"/>
  <c r="V133" i="2" s="1"/>
  <c r="T267" i="2"/>
  <c r="B267" i="2"/>
  <c r="L267" i="2"/>
  <c r="D267" i="2"/>
  <c r="E268" i="2" s="1"/>
  <c r="A268" i="2"/>
  <c r="S268" i="2" s="1"/>
  <c r="C267" i="2"/>
  <c r="N267" i="2" l="1"/>
  <c r="F134" i="2"/>
  <c r="W133" i="2"/>
  <c r="M267" i="2"/>
  <c r="A269" i="2"/>
  <c r="T268" i="2"/>
  <c r="C268" i="2"/>
  <c r="L268" i="2"/>
  <c r="D268" i="2"/>
  <c r="E269" i="2" s="1"/>
  <c r="B268" i="2"/>
  <c r="Q265" i="2"/>
  <c r="O266" i="2"/>
  <c r="P266" i="2" s="1"/>
  <c r="N268" i="2" l="1"/>
  <c r="L269" i="2"/>
  <c r="T269" i="2"/>
  <c r="A270" i="2"/>
  <c r="B269" i="2"/>
  <c r="D269" i="2"/>
  <c r="E270" i="2" s="1"/>
  <c r="C269" i="2"/>
  <c r="M268" i="2"/>
  <c r="Q266" i="2"/>
  <c r="O267" i="2"/>
  <c r="P267" i="2" s="1"/>
  <c r="U134" i="2"/>
  <c r="V134" i="2" s="1"/>
  <c r="M269" i="2" l="1"/>
  <c r="N269" i="2"/>
  <c r="T270" i="2"/>
  <c r="A271" i="2"/>
  <c r="C270" i="2"/>
  <c r="B270" i="2"/>
  <c r="D270" i="2"/>
  <c r="E271" i="2" s="1"/>
  <c r="L270" i="2"/>
  <c r="W134" i="2"/>
  <c r="F135" i="2"/>
  <c r="Q267" i="2"/>
  <c r="O268" i="2"/>
  <c r="P268" i="2" s="1"/>
  <c r="S269" i="2" l="1"/>
  <c r="N270" i="2"/>
  <c r="U135" i="2"/>
  <c r="V135" i="2" s="1"/>
  <c r="C271" i="2"/>
  <c r="A272" i="2"/>
  <c r="T271" i="2"/>
  <c r="L271" i="2"/>
  <c r="B271" i="2"/>
  <c r="D271" i="2"/>
  <c r="E272" i="2" s="1"/>
  <c r="M270" i="2"/>
  <c r="S270" i="2" s="1"/>
  <c r="Q268" i="2"/>
  <c r="O269" i="2"/>
  <c r="P269" i="2" s="1"/>
  <c r="N271" i="2" l="1"/>
  <c r="M271" i="2"/>
  <c r="S271" i="2" s="1"/>
  <c r="W135" i="2"/>
  <c r="F136" i="2"/>
  <c r="Q269" i="2"/>
  <c r="O270" i="2"/>
  <c r="P270" i="2" s="1"/>
  <c r="D272" i="2"/>
  <c r="E273" i="2" s="1"/>
  <c r="B272" i="2"/>
  <c r="C272" i="2"/>
  <c r="L272" i="2"/>
  <c r="T272" i="2"/>
  <c r="A273" i="2"/>
  <c r="S273" i="2" s="1"/>
  <c r="N272" i="2" l="1"/>
  <c r="M272" i="2"/>
  <c r="S272" i="2" s="1"/>
  <c r="C273" i="2"/>
  <c r="L273" i="2"/>
  <c r="T273" i="2"/>
  <c r="A274" i="2"/>
  <c r="S274" i="2" s="1"/>
  <c r="B273" i="2"/>
  <c r="D273" i="2"/>
  <c r="E274" i="2" s="1"/>
  <c r="U136" i="2"/>
  <c r="V136" i="2" s="1"/>
  <c r="Q270" i="2"/>
  <c r="O271" i="2"/>
  <c r="P271" i="2" s="1"/>
  <c r="N273" i="2" l="1"/>
  <c r="Q271" i="2"/>
  <c r="O272" i="2"/>
  <c r="P272" i="2" s="1"/>
  <c r="M273" i="2"/>
  <c r="W136" i="2"/>
  <c r="F137" i="2"/>
  <c r="T274" i="2"/>
  <c r="L274" i="2"/>
  <c r="C274" i="2"/>
  <c r="D274" i="2"/>
  <c r="E275" i="2" s="1"/>
  <c r="A275" i="2"/>
  <c r="S275" i="2" s="1"/>
  <c r="B274" i="2"/>
  <c r="N274" i="2" l="1"/>
  <c r="U137" i="2"/>
  <c r="V137" i="2" s="1"/>
  <c r="Q272" i="2"/>
  <c r="O273" i="2"/>
  <c r="P273" i="2" s="1"/>
  <c r="B275" i="2"/>
  <c r="D275" i="2"/>
  <c r="E276" i="2" s="1"/>
  <c r="T275" i="2"/>
  <c r="C275" i="2"/>
  <c r="L275" i="2"/>
  <c r="A276" i="2"/>
  <c r="S276" i="2" s="1"/>
  <c r="M274" i="2"/>
  <c r="N275" i="2" l="1"/>
  <c r="M275" i="2"/>
  <c r="L276" i="2"/>
  <c r="N276" i="2" s="1"/>
  <c r="A277" i="2"/>
  <c r="S277" i="2" s="1"/>
  <c r="B276" i="2"/>
  <c r="C276" i="2"/>
  <c r="T276" i="2"/>
  <c r="D276" i="2"/>
  <c r="E277" i="2" s="1"/>
  <c r="Q273" i="2"/>
  <c r="O274" i="2"/>
  <c r="P274" i="2" s="1"/>
  <c r="W137" i="2"/>
  <c r="F138" i="2"/>
  <c r="M276" i="2" l="1"/>
  <c r="U138" i="2"/>
  <c r="V138" i="2" s="1"/>
  <c r="B277" i="2"/>
  <c r="T277" i="2"/>
  <c r="L277" i="2"/>
  <c r="N277" i="2" s="1"/>
  <c r="C277" i="2"/>
  <c r="A278" i="2"/>
  <c r="D277" i="2"/>
  <c r="E278" i="2" s="1"/>
  <c r="Q274" i="2"/>
  <c r="O275" i="2"/>
  <c r="P275" i="2" s="1"/>
  <c r="W138" i="2" l="1"/>
  <c r="F139" i="2"/>
  <c r="M277" i="2"/>
  <c r="Q275" i="2"/>
  <c r="O276" i="2"/>
  <c r="P276" i="2" s="1"/>
  <c r="L278" i="2"/>
  <c r="N278" i="2" s="1"/>
  <c r="D278" i="2"/>
  <c r="E279" i="2" s="1"/>
  <c r="B278" i="2"/>
  <c r="A279" i="2"/>
  <c r="S279" i="2" s="1"/>
  <c r="T278" i="2"/>
  <c r="C278" i="2"/>
  <c r="Q276" i="2" l="1"/>
  <c r="U139" i="2"/>
  <c r="V139" i="2" s="1"/>
  <c r="M278" i="2"/>
  <c r="S278" i="2" s="1"/>
  <c r="O277" i="2"/>
  <c r="P277" i="2" s="1"/>
  <c r="B279" i="2"/>
  <c r="L279" i="2"/>
  <c r="N279" i="2" s="1"/>
  <c r="C279" i="2"/>
  <c r="T279" i="2"/>
  <c r="D279" i="2"/>
  <c r="E280" i="2" s="1"/>
  <c r="A280" i="2"/>
  <c r="S280" i="2" s="1"/>
  <c r="F140" i="2" l="1"/>
  <c r="W139" i="2"/>
  <c r="Q277" i="2"/>
  <c r="O278" i="2"/>
  <c r="P278" i="2" s="1"/>
  <c r="M279" i="2"/>
  <c r="L280" i="2"/>
  <c r="N280" i="2" s="1"/>
  <c r="B280" i="2"/>
  <c r="D280" i="2"/>
  <c r="E281" i="2" s="1"/>
  <c r="A281" i="2"/>
  <c r="C280" i="2"/>
  <c r="T280" i="2"/>
  <c r="T281" i="2" l="1"/>
  <c r="B281" i="2"/>
  <c r="C281" i="2"/>
  <c r="D281" i="2"/>
  <c r="E282" i="2" s="1"/>
  <c r="L281" i="2"/>
  <c r="N281" i="2" s="1"/>
  <c r="A282" i="2"/>
  <c r="M280" i="2"/>
  <c r="U140" i="2"/>
  <c r="V140" i="2" s="1"/>
  <c r="Q278" i="2"/>
  <c r="O279" i="2"/>
  <c r="P279" i="2" s="1"/>
  <c r="F141" i="2" l="1"/>
  <c r="W140" i="2"/>
  <c r="Q279" i="2"/>
  <c r="O280" i="2"/>
  <c r="P280" i="2" s="1"/>
  <c r="M281" i="2"/>
  <c r="S281" i="2" s="1"/>
  <c r="L282" i="2"/>
  <c r="N282" i="2" s="1"/>
  <c r="D282" i="2"/>
  <c r="E283" i="2" s="1"/>
  <c r="B282" i="2"/>
  <c r="C282" i="2"/>
  <c r="T282" i="2"/>
  <c r="A283" i="2"/>
  <c r="C283" i="2" l="1"/>
  <c r="T283" i="2"/>
  <c r="B283" i="2"/>
  <c r="D283" i="2"/>
  <c r="E284" i="2" s="1"/>
  <c r="L283" i="2"/>
  <c r="N283" i="2" s="1"/>
  <c r="A284" i="2"/>
  <c r="Q280" i="2"/>
  <c r="O281" i="2"/>
  <c r="P281" i="2" s="1"/>
  <c r="U141" i="2"/>
  <c r="V141" i="2" s="1"/>
  <c r="M282" i="2"/>
  <c r="S282" i="2" s="1"/>
  <c r="M283" i="2" l="1"/>
  <c r="S283" i="2" s="1"/>
  <c r="W141" i="2"/>
  <c r="F142" i="2"/>
  <c r="D284" i="2"/>
  <c r="E285" i="2" s="1"/>
  <c r="A285" i="2"/>
  <c r="S285" i="2" s="1"/>
  <c r="B284" i="2"/>
  <c r="L284" i="2"/>
  <c r="T284" i="2"/>
  <c r="C284" i="2"/>
  <c r="Q281" i="2"/>
  <c r="O282" i="2"/>
  <c r="P282" i="2" s="1"/>
  <c r="M284" i="2" l="1"/>
  <c r="N284" i="2"/>
  <c r="Q282" i="2"/>
  <c r="O283" i="2"/>
  <c r="P283" i="2" s="1"/>
  <c r="C285" i="2"/>
  <c r="D285" i="2"/>
  <c r="E286" i="2" s="1"/>
  <c r="B285" i="2"/>
  <c r="L285" i="2"/>
  <c r="A286" i="2"/>
  <c r="S286" i="2" s="1"/>
  <c r="T285" i="2"/>
  <c r="U142" i="2"/>
  <c r="V142" i="2" s="1"/>
  <c r="S284" i="2" l="1"/>
  <c r="N285" i="2"/>
  <c r="F143" i="2"/>
  <c r="W142" i="2"/>
  <c r="M285" i="2"/>
  <c r="L286" i="2"/>
  <c r="B286" i="2"/>
  <c r="D286" i="2"/>
  <c r="E287" i="2" s="1"/>
  <c r="C286" i="2"/>
  <c r="T286" i="2"/>
  <c r="A287" i="2"/>
  <c r="S287" i="2" s="1"/>
  <c r="Q283" i="2"/>
  <c r="O284" i="2"/>
  <c r="P284" i="2" s="1"/>
  <c r="N286" i="2" l="1"/>
  <c r="C287" i="2"/>
  <c r="B287" i="2"/>
  <c r="L287" i="2"/>
  <c r="T287" i="2"/>
  <c r="D287" i="2"/>
  <c r="E288" i="2" s="1"/>
  <c r="A288" i="2"/>
  <c r="S288" i="2" s="1"/>
  <c r="M286" i="2"/>
  <c r="Q284" i="2"/>
  <c r="O285" i="2"/>
  <c r="P285" i="2" s="1"/>
  <c r="U143" i="2"/>
  <c r="V143" i="2" s="1"/>
  <c r="N287" i="2" l="1"/>
  <c r="F144" i="2"/>
  <c r="W143" i="2"/>
  <c r="M287" i="2"/>
  <c r="Q285" i="2"/>
  <c r="O286" i="2"/>
  <c r="P286" i="2" s="1"/>
  <c r="A289" i="2"/>
  <c r="S289" i="2" s="1"/>
  <c r="L288" i="2"/>
  <c r="B288" i="2"/>
  <c r="T288" i="2"/>
  <c r="D288" i="2"/>
  <c r="E289" i="2" s="1"/>
  <c r="C288" i="2"/>
  <c r="N288" i="2" l="1"/>
  <c r="M288" i="2"/>
  <c r="B289" i="2"/>
  <c r="D289" i="2"/>
  <c r="E290" i="2" s="1"/>
  <c r="T289" i="2"/>
  <c r="A290" i="2"/>
  <c r="C289" i="2"/>
  <c r="L289" i="2"/>
  <c r="Q286" i="2"/>
  <c r="O287" i="2"/>
  <c r="P287" i="2" s="1"/>
  <c r="U144" i="2"/>
  <c r="V144" i="2" s="1"/>
  <c r="M289" i="2" l="1"/>
  <c r="N289" i="2"/>
  <c r="F145" i="2"/>
  <c r="W144" i="2"/>
  <c r="Q287" i="2"/>
  <c r="O288" i="2"/>
  <c r="P288" i="2" s="1"/>
  <c r="C290" i="2"/>
  <c r="A291" i="2"/>
  <c r="S291" i="2" s="1"/>
  <c r="B290" i="2"/>
  <c r="T290" i="2"/>
  <c r="D290" i="2"/>
  <c r="E291" i="2" s="1"/>
  <c r="L290" i="2"/>
  <c r="M290" i="2" l="1"/>
  <c r="O289" i="2"/>
  <c r="P289" i="2" s="1"/>
  <c r="Q288" i="2"/>
  <c r="N290" i="2"/>
  <c r="U145" i="2"/>
  <c r="V145" i="2" s="1"/>
  <c r="T291" i="2"/>
  <c r="D291" i="2"/>
  <c r="E292" i="2" s="1"/>
  <c r="A292" i="2"/>
  <c r="S292" i="2" s="1"/>
  <c r="C291" i="2"/>
  <c r="B291" i="2"/>
  <c r="L291" i="2"/>
  <c r="S290" i="2" l="1"/>
  <c r="Q289" i="2"/>
  <c r="M291" i="2"/>
  <c r="N291" i="2"/>
  <c r="F146" i="2"/>
  <c r="W145" i="2"/>
  <c r="L292" i="2"/>
  <c r="A293" i="2"/>
  <c r="T292" i="2"/>
  <c r="B292" i="2"/>
  <c r="C292" i="2"/>
  <c r="D292" i="2"/>
  <c r="E293" i="2" s="1"/>
  <c r="O290" i="2"/>
  <c r="P290" i="2" s="1"/>
  <c r="N292" i="2" l="1"/>
  <c r="T293" i="2"/>
  <c r="A294" i="2"/>
  <c r="C293" i="2"/>
  <c r="L293" i="2"/>
  <c r="N293" i="2" s="1"/>
  <c r="D293" i="2"/>
  <c r="E294" i="2" s="1"/>
  <c r="B293" i="2"/>
  <c r="M292" i="2"/>
  <c r="Q290" i="2"/>
  <c r="O291" i="2"/>
  <c r="P291" i="2" s="1"/>
  <c r="U146" i="2"/>
  <c r="V146" i="2" s="1"/>
  <c r="F147" i="2" l="1"/>
  <c r="W146" i="2"/>
  <c r="Q291" i="2"/>
  <c r="O292" i="2"/>
  <c r="P292" i="2" s="1"/>
  <c r="M293" i="2"/>
  <c r="S293" i="2" s="1"/>
  <c r="B294" i="2"/>
  <c r="T294" i="2"/>
  <c r="C294" i="2"/>
  <c r="A295" i="2"/>
  <c r="D294" i="2"/>
  <c r="E295" i="2" s="1"/>
  <c r="L294" i="2"/>
  <c r="N294" i="2" s="1"/>
  <c r="M294" i="2" l="1"/>
  <c r="S294" i="2" s="1"/>
  <c r="Q292" i="2"/>
  <c r="O293" i="2"/>
  <c r="P293" i="2" s="1"/>
  <c r="A296" i="2"/>
  <c r="T295" i="2"/>
  <c r="D295" i="2"/>
  <c r="E296" i="2" s="1"/>
  <c r="B295" i="2"/>
  <c r="C295" i="2"/>
  <c r="L295" i="2"/>
  <c r="N295" i="2" s="1"/>
  <c r="U147" i="2"/>
  <c r="V147" i="2" s="1"/>
  <c r="M295" i="2" l="1"/>
  <c r="S295" i="2" s="1"/>
  <c r="C296" i="2"/>
  <c r="L296" i="2"/>
  <c r="N296" i="2" s="1"/>
  <c r="A297" i="2"/>
  <c r="S297" i="2" s="1"/>
  <c r="D296" i="2"/>
  <c r="E297" i="2" s="1"/>
  <c r="B296" i="2"/>
  <c r="T296" i="2"/>
  <c r="Q293" i="2"/>
  <c r="O294" i="2"/>
  <c r="P294" i="2" s="1"/>
  <c r="F148" i="2"/>
  <c r="W147" i="2"/>
  <c r="U148" i="2" l="1"/>
  <c r="V148" i="2" s="1"/>
  <c r="L297" i="2"/>
  <c r="N297" i="2" s="1"/>
  <c r="D297" i="2"/>
  <c r="E298" i="2" s="1"/>
  <c r="T297" i="2"/>
  <c r="A298" i="2"/>
  <c r="S298" i="2" s="1"/>
  <c r="C297" i="2"/>
  <c r="B297" i="2"/>
  <c r="M296" i="2"/>
  <c r="S296" i="2" s="1"/>
  <c r="Q294" i="2"/>
  <c r="O295" i="2"/>
  <c r="P295" i="2" s="1"/>
  <c r="M297" i="2" l="1"/>
  <c r="A299" i="2"/>
  <c r="S299" i="2" s="1"/>
  <c r="B298" i="2"/>
  <c r="L298" i="2"/>
  <c r="T298" i="2"/>
  <c r="D298" i="2"/>
  <c r="E299" i="2" s="1"/>
  <c r="C298" i="2"/>
  <c r="Q295" i="2"/>
  <c r="O296" i="2"/>
  <c r="P296" i="2" s="1"/>
  <c r="W148" i="2"/>
  <c r="F149" i="2"/>
  <c r="M298" i="2" l="1"/>
  <c r="N298" i="2"/>
  <c r="U149" i="2"/>
  <c r="V149" i="2" s="1"/>
  <c r="B299" i="2"/>
  <c r="T299" i="2"/>
  <c r="D299" i="2"/>
  <c r="E300" i="2" s="1"/>
  <c r="L299" i="2"/>
  <c r="C299" i="2"/>
  <c r="A300" i="2"/>
  <c r="S300" i="2" s="1"/>
  <c r="Q296" i="2"/>
  <c r="O297" i="2"/>
  <c r="P297" i="2" s="1"/>
  <c r="M299" i="2" l="1"/>
  <c r="N299" i="2"/>
  <c r="D300" i="2"/>
  <c r="E301" i="2" s="1"/>
  <c r="T300" i="2"/>
  <c r="L300" i="2"/>
  <c r="A301" i="2"/>
  <c r="S301" i="2" s="1"/>
  <c r="C300" i="2"/>
  <c r="B300" i="2"/>
  <c r="Q297" i="2"/>
  <c r="O298" i="2"/>
  <c r="P298" i="2" s="1"/>
  <c r="W149" i="2"/>
  <c r="F150" i="2"/>
  <c r="M300" i="2" l="1"/>
  <c r="N300" i="2"/>
  <c r="Q298" i="2"/>
  <c r="O299" i="2"/>
  <c r="P299" i="2" s="1"/>
  <c r="U150" i="2"/>
  <c r="V150" i="2" s="1"/>
  <c r="C301" i="2"/>
  <c r="L301" i="2"/>
  <c r="B301" i="2"/>
  <c r="T301" i="2"/>
  <c r="A302" i="2"/>
  <c r="D301" i="2"/>
  <c r="E302" i="2" s="1"/>
  <c r="M301" i="2" l="1"/>
  <c r="Q299" i="2"/>
  <c r="O300" i="2"/>
  <c r="P300" i="2" s="1"/>
  <c r="N301" i="2"/>
  <c r="F151" i="2"/>
  <c r="W150" i="2"/>
  <c r="A303" i="2"/>
  <c r="S303" i="2" s="1"/>
  <c r="T302" i="2"/>
  <c r="C302" i="2"/>
  <c r="L302" i="2"/>
  <c r="D302" i="2"/>
  <c r="E303" i="2" s="1"/>
  <c r="B302" i="2"/>
  <c r="M302" i="2" l="1"/>
  <c r="O301" i="2"/>
  <c r="P301" i="2" s="1"/>
  <c r="D303" i="2"/>
  <c r="E304" i="2" s="1"/>
  <c r="C303" i="2"/>
  <c r="A304" i="2"/>
  <c r="S304" i="2" s="1"/>
  <c r="B303" i="2"/>
  <c r="T303" i="2"/>
  <c r="L303" i="2"/>
  <c r="M303" i="2" s="1"/>
  <c r="U151" i="2"/>
  <c r="V151" i="2" s="1"/>
  <c r="N302" i="2"/>
  <c r="Q300" i="2"/>
  <c r="S302" i="2" l="1"/>
  <c r="Q301" i="2"/>
  <c r="N303" i="2"/>
  <c r="F152" i="2"/>
  <c r="W151" i="2"/>
  <c r="L304" i="2"/>
  <c r="B304" i="2"/>
  <c r="T304" i="2"/>
  <c r="D304" i="2"/>
  <c r="E305" i="2" s="1"/>
  <c r="A305" i="2"/>
  <c r="C304" i="2"/>
  <c r="O302" i="2"/>
  <c r="P302" i="2" s="1"/>
  <c r="N304" i="2" l="1"/>
  <c r="M304" i="2"/>
  <c r="U152" i="2"/>
  <c r="V152" i="2" s="1"/>
  <c r="A306" i="2"/>
  <c r="T305" i="2"/>
  <c r="C305" i="2"/>
  <c r="D305" i="2"/>
  <c r="E306" i="2" s="1"/>
  <c r="B305" i="2"/>
  <c r="L305" i="2"/>
  <c r="N305" i="2" s="1"/>
  <c r="Q302" i="2"/>
  <c r="O303" i="2"/>
  <c r="P303" i="2" s="1"/>
  <c r="F153" i="2" l="1"/>
  <c r="W152" i="2"/>
  <c r="Q303" i="2"/>
  <c r="O304" i="2"/>
  <c r="P304" i="2" s="1"/>
  <c r="M305" i="2"/>
  <c r="S305" i="2" s="1"/>
  <c r="A307" i="2"/>
  <c r="T306" i="2"/>
  <c r="B306" i="2"/>
  <c r="C306" i="2"/>
  <c r="L306" i="2"/>
  <c r="N306" i="2" s="1"/>
  <c r="D306" i="2"/>
  <c r="E307" i="2" s="1"/>
  <c r="M306" i="2" l="1"/>
  <c r="S306" i="2" s="1"/>
  <c r="U153" i="2"/>
  <c r="V153" i="2" s="1"/>
  <c r="T307" i="2"/>
  <c r="B307" i="2"/>
  <c r="A308" i="2"/>
  <c r="L307" i="2"/>
  <c r="N307" i="2" s="1"/>
  <c r="D307" i="2"/>
  <c r="E308" i="2" s="1"/>
  <c r="C307" i="2"/>
  <c r="Q304" i="2"/>
  <c r="O305" i="2"/>
  <c r="P305" i="2" s="1"/>
  <c r="F154" i="2" l="1"/>
  <c r="W153" i="2"/>
  <c r="M307" i="2"/>
  <c r="S307" i="2" s="1"/>
  <c r="Q305" i="2"/>
  <c r="O306" i="2"/>
  <c r="P306" i="2" s="1"/>
  <c r="A309" i="2"/>
  <c r="S309" i="2" s="1"/>
  <c r="B308" i="2"/>
  <c r="C308" i="2"/>
  <c r="T308" i="2"/>
  <c r="L308" i="2"/>
  <c r="N308" i="2" s="1"/>
  <c r="D308" i="2"/>
  <c r="E309" i="2" s="1"/>
  <c r="Q306" i="2" l="1"/>
  <c r="O307" i="2"/>
  <c r="P307" i="2" s="1"/>
  <c r="D309" i="2"/>
  <c r="E310" i="2" s="1"/>
  <c r="C309" i="2"/>
  <c r="A310" i="2"/>
  <c r="S310" i="2" s="1"/>
  <c r="B309" i="2"/>
  <c r="L309" i="2"/>
  <c r="N309" i="2" s="1"/>
  <c r="T309" i="2"/>
  <c r="M308" i="2"/>
  <c r="S308" i="2" s="1"/>
  <c r="U154" i="2"/>
  <c r="V154" i="2" s="1"/>
  <c r="W154" i="2" l="1"/>
  <c r="F155" i="2"/>
  <c r="T310" i="2"/>
  <c r="A311" i="2"/>
  <c r="S311" i="2" s="1"/>
  <c r="D310" i="2"/>
  <c r="E311" i="2" s="1"/>
  <c r="L310" i="2"/>
  <c r="N310" i="2" s="1"/>
  <c r="B310" i="2"/>
  <c r="C310" i="2"/>
  <c r="M309" i="2"/>
  <c r="Q307" i="2"/>
  <c r="O308" i="2"/>
  <c r="P308" i="2" s="1"/>
  <c r="T311" i="2" l="1"/>
  <c r="D311" i="2"/>
  <c r="E312" i="2" s="1"/>
  <c r="L311" i="2"/>
  <c r="N311" i="2" s="1"/>
  <c r="A312" i="2"/>
  <c r="S312" i="2" s="1"/>
  <c r="B311" i="2"/>
  <c r="C311" i="2"/>
  <c r="U155" i="2"/>
  <c r="V155" i="2" s="1"/>
  <c r="Q308" i="2"/>
  <c r="O309" i="2"/>
  <c r="P309" i="2" s="1"/>
  <c r="M310" i="2"/>
  <c r="F156" i="2" l="1"/>
  <c r="W155" i="2"/>
  <c r="T312" i="2"/>
  <c r="A313" i="2"/>
  <c r="S313" i="2" s="1"/>
  <c r="C312" i="2"/>
  <c r="D312" i="2"/>
  <c r="E313" i="2" s="1"/>
  <c r="L312" i="2"/>
  <c r="N312" i="2" s="1"/>
  <c r="B312" i="2"/>
  <c r="M311" i="2"/>
  <c r="Q309" i="2"/>
  <c r="O310" i="2"/>
  <c r="P310" i="2" s="1"/>
  <c r="M312" i="2" l="1"/>
  <c r="Q310" i="2"/>
  <c r="O311" i="2"/>
  <c r="P311" i="2" s="1"/>
  <c r="D313" i="2"/>
  <c r="E314" i="2" s="1"/>
  <c r="T313" i="2"/>
  <c r="C313" i="2"/>
  <c r="L313" i="2"/>
  <c r="N313" i="2" s="1"/>
  <c r="A314" i="2"/>
  <c r="B313" i="2"/>
  <c r="U156" i="2"/>
  <c r="V156" i="2" s="1"/>
  <c r="W156" i="2" l="1"/>
  <c r="F157" i="2"/>
  <c r="M313" i="2"/>
  <c r="C314" i="2"/>
  <c r="B314" i="2"/>
  <c r="A315" i="2"/>
  <c r="S315" i="2" s="1"/>
  <c r="T314" i="2"/>
  <c r="D314" i="2"/>
  <c r="E315" i="2" s="1"/>
  <c r="L314" i="2"/>
  <c r="N314" i="2" s="1"/>
  <c r="Q311" i="2"/>
  <c r="O312" i="2"/>
  <c r="P312" i="2" s="1"/>
  <c r="Q312" i="2" l="1"/>
  <c r="L315" i="2"/>
  <c r="N315" i="2" s="1"/>
  <c r="A316" i="2"/>
  <c r="S316" i="2" s="1"/>
  <c r="B315" i="2"/>
  <c r="D315" i="2"/>
  <c r="E316" i="2" s="1"/>
  <c r="T315" i="2"/>
  <c r="C315" i="2"/>
  <c r="U157" i="2"/>
  <c r="V157" i="2" s="1"/>
  <c r="M314" i="2"/>
  <c r="S314" i="2" s="1"/>
  <c r="O313" i="2"/>
  <c r="P313" i="2" s="1"/>
  <c r="F158" i="2" l="1"/>
  <c r="W157" i="2"/>
  <c r="Q313" i="2"/>
  <c r="O314" i="2"/>
  <c r="P314" i="2" s="1"/>
  <c r="M315" i="2"/>
  <c r="D316" i="2"/>
  <c r="E317" i="2" s="1"/>
  <c r="L316" i="2"/>
  <c r="N316" i="2" s="1"/>
  <c r="B316" i="2"/>
  <c r="A317" i="2"/>
  <c r="C316" i="2"/>
  <c r="T316" i="2"/>
  <c r="M316" i="2" l="1"/>
  <c r="U158" i="2"/>
  <c r="V158" i="2" s="1"/>
  <c r="L317" i="2"/>
  <c r="N317" i="2" s="1"/>
  <c r="D317" i="2"/>
  <c r="E318" i="2" s="1"/>
  <c r="A318" i="2"/>
  <c r="C317" i="2"/>
  <c r="T317" i="2"/>
  <c r="B317" i="2"/>
  <c r="Q314" i="2"/>
  <c r="O315" i="2"/>
  <c r="P315" i="2" s="1"/>
  <c r="M317" i="2" l="1"/>
  <c r="S317" i="2" s="1"/>
  <c r="W158" i="2"/>
  <c r="F159" i="2"/>
  <c r="Q315" i="2"/>
  <c r="O316" i="2"/>
  <c r="P316" i="2" s="1"/>
  <c r="B318" i="2"/>
  <c r="A319" i="2"/>
  <c r="L318" i="2"/>
  <c r="N318" i="2" s="1"/>
  <c r="T318" i="2"/>
  <c r="C318" i="2"/>
  <c r="D318" i="2"/>
  <c r="E319" i="2" s="1"/>
  <c r="Q316" i="2" l="1"/>
  <c r="O317" i="2"/>
  <c r="P317" i="2" s="1"/>
  <c r="U159" i="2"/>
  <c r="V159" i="2" s="1"/>
  <c r="M318" i="2"/>
  <c r="S318" i="2" s="1"/>
  <c r="D319" i="2"/>
  <c r="E320" i="2" s="1"/>
  <c r="B319" i="2"/>
  <c r="L319" i="2"/>
  <c r="N319" i="2" s="1"/>
  <c r="A320" i="2"/>
  <c r="T319" i="2"/>
  <c r="C319" i="2"/>
  <c r="M319" i="2" l="1"/>
  <c r="S319" i="2" s="1"/>
  <c r="F160" i="2"/>
  <c r="W159" i="2"/>
  <c r="L320" i="2"/>
  <c r="N320" i="2" s="1"/>
  <c r="C320" i="2"/>
  <c r="T320" i="2"/>
  <c r="B320" i="2"/>
  <c r="A321" i="2"/>
  <c r="S321" i="2" s="1"/>
  <c r="D320" i="2"/>
  <c r="E321" i="2" s="1"/>
  <c r="Q317" i="2"/>
  <c r="O318" i="2"/>
  <c r="P318" i="2" s="1"/>
  <c r="M320" i="2" l="1"/>
  <c r="S320" i="2" s="1"/>
  <c r="Q318" i="2"/>
  <c r="O319" i="2"/>
  <c r="P319" i="2" s="1"/>
  <c r="U160" i="2"/>
  <c r="V160" i="2" s="1"/>
  <c r="L321" i="2"/>
  <c r="T321" i="2"/>
  <c r="D321" i="2"/>
  <c r="E322" i="2" s="1"/>
  <c r="B321" i="2"/>
  <c r="A322" i="2"/>
  <c r="S322" i="2" s="1"/>
  <c r="C321" i="2"/>
  <c r="M321" i="2" l="1"/>
  <c r="N321" i="2"/>
  <c r="L322" i="2"/>
  <c r="B322" i="2"/>
  <c r="C322" i="2"/>
  <c r="A323" i="2"/>
  <c r="S323" i="2" s="1"/>
  <c r="T322" i="2"/>
  <c r="D322" i="2"/>
  <c r="E323" i="2" s="1"/>
  <c r="F161" i="2"/>
  <c r="W160" i="2"/>
  <c r="Q319" i="2"/>
  <c r="O320" i="2"/>
  <c r="P320" i="2" s="1"/>
  <c r="M322" i="2" l="1"/>
  <c r="N322" i="2"/>
  <c r="Q320" i="2"/>
  <c r="O321" i="2"/>
  <c r="P321" i="2" s="1"/>
  <c r="L323" i="2"/>
  <c r="T323" i="2"/>
  <c r="D323" i="2"/>
  <c r="E324" i="2" s="1"/>
  <c r="A324" i="2"/>
  <c r="S324" i="2" s="1"/>
  <c r="C323" i="2"/>
  <c r="B323" i="2"/>
  <c r="U161" i="2"/>
  <c r="V161" i="2" s="1"/>
  <c r="N323" i="2" l="1"/>
  <c r="M323" i="2"/>
  <c r="F162" i="2"/>
  <c r="W161" i="2"/>
  <c r="A325" i="2"/>
  <c r="S325" i="2" s="1"/>
  <c r="L324" i="2"/>
  <c r="T324" i="2"/>
  <c r="D324" i="2"/>
  <c r="E325" i="2" s="1"/>
  <c r="B324" i="2"/>
  <c r="C324" i="2"/>
  <c r="Q321" i="2"/>
  <c r="O322" i="2"/>
  <c r="P322" i="2" s="1"/>
  <c r="N324" i="2" l="1"/>
  <c r="Q322" i="2"/>
  <c r="O323" i="2"/>
  <c r="P323" i="2" s="1"/>
  <c r="T325" i="2"/>
  <c r="C325" i="2"/>
  <c r="D325" i="2"/>
  <c r="E326" i="2" s="1"/>
  <c r="L325" i="2"/>
  <c r="B325" i="2"/>
  <c r="A326" i="2"/>
  <c r="U162" i="2"/>
  <c r="V162" i="2" s="1"/>
  <c r="M324" i="2"/>
  <c r="N325" i="2" l="1"/>
  <c r="M325" i="2"/>
  <c r="F163" i="2"/>
  <c r="W162" i="2"/>
  <c r="Q323" i="2"/>
  <c r="O324" i="2"/>
  <c r="P324" i="2" s="1"/>
  <c r="D326" i="2"/>
  <c r="E327" i="2" s="1"/>
  <c r="T326" i="2"/>
  <c r="C326" i="2"/>
  <c r="A327" i="2"/>
  <c r="S327" i="2" s="1"/>
  <c r="B326" i="2"/>
  <c r="L326" i="2"/>
  <c r="N326" i="2" l="1"/>
  <c r="O325" i="2"/>
  <c r="P325" i="2" s="1"/>
  <c r="Q324" i="2"/>
  <c r="C327" i="2"/>
  <c r="D327" i="2"/>
  <c r="E328" i="2" s="1"/>
  <c r="L327" i="2"/>
  <c r="T327" i="2"/>
  <c r="A328" i="2"/>
  <c r="S328" i="2" s="1"/>
  <c r="B327" i="2"/>
  <c r="U163" i="2"/>
  <c r="V163" i="2" s="1"/>
  <c r="M326" i="2"/>
  <c r="S326" i="2" s="1"/>
  <c r="Q325" i="2" l="1"/>
  <c r="N327" i="2"/>
  <c r="W163" i="2"/>
  <c r="F164" i="2"/>
  <c r="D328" i="2"/>
  <c r="E329" i="2" s="1"/>
  <c r="T328" i="2"/>
  <c r="C328" i="2"/>
  <c r="B328" i="2"/>
  <c r="A329" i="2"/>
  <c r="L328" i="2"/>
  <c r="N328" i="2" s="1"/>
  <c r="M327" i="2"/>
  <c r="O326" i="2"/>
  <c r="P326" i="2" s="1"/>
  <c r="M328" i="2" l="1"/>
  <c r="T329" i="2"/>
  <c r="B329" i="2"/>
  <c r="C329" i="2"/>
  <c r="D329" i="2"/>
  <c r="E330" i="2" s="1"/>
  <c r="A330" i="2"/>
  <c r="L329" i="2"/>
  <c r="N329" i="2" s="1"/>
  <c r="Q326" i="2"/>
  <c r="O327" i="2"/>
  <c r="P327" i="2" s="1"/>
  <c r="U164" i="2"/>
  <c r="V164" i="2" s="1"/>
  <c r="M329" i="2" l="1"/>
  <c r="S329" i="2" s="1"/>
  <c r="F165" i="2"/>
  <c r="W164" i="2"/>
  <c r="L330" i="2"/>
  <c r="B330" i="2"/>
  <c r="T330" i="2"/>
  <c r="A331" i="2"/>
  <c r="D330" i="2"/>
  <c r="E331" i="2" s="1"/>
  <c r="C330" i="2"/>
  <c r="Q327" i="2"/>
  <c r="O328" i="2"/>
  <c r="P328" i="2" s="1"/>
  <c r="M330" i="2" l="1"/>
  <c r="N330" i="2"/>
  <c r="Q328" i="2"/>
  <c r="O329" i="2"/>
  <c r="P329" i="2" s="1"/>
  <c r="A332" i="2"/>
  <c r="D331" i="2"/>
  <c r="E332" i="2" s="1"/>
  <c r="B331" i="2"/>
  <c r="L331" i="2"/>
  <c r="T331" i="2"/>
  <c r="C331" i="2"/>
  <c r="U165" i="2"/>
  <c r="V165" i="2" s="1"/>
  <c r="S330" i="2" l="1"/>
  <c r="N331" i="2"/>
  <c r="F166" i="2"/>
  <c r="W165" i="2"/>
  <c r="A333" i="2"/>
  <c r="S333" i="2" s="1"/>
  <c r="L332" i="2"/>
  <c r="T332" i="2"/>
  <c r="D332" i="2"/>
  <c r="E333" i="2" s="1"/>
  <c r="B332" i="2"/>
  <c r="C332" i="2"/>
  <c r="M331" i="2"/>
  <c r="S331" i="2" s="1"/>
  <c r="Q329" i="2"/>
  <c r="O330" i="2"/>
  <c r="P330" i="2" s="1"/>
  <c r="N332" i="2" l="1"/>
  <c r="U166" i="2"/>
  <c r="V166" i="2" s="1"/>
  <c r="M332" i="2"/>
  <c r="S332" i="2" s="1"/>
  <c r="Q330" i="2"/>
  <c r="O331" i="2"/>
  <c r="P331" i="2" s="1"/>
  <c r="L333" i="2"/>
  <c r="B333" i="2"/>
  <c r="A334" i="2"/>
  <c r="S334" i="2" s="1"/>
  <c r="C333" i="2"/>
  <c r="D333" i="2"/>
  <c r="E334" i="2" s="1"/>
  <c r="T333" i="2"/>
  <c r="N333" i="2" l="1"/>
  <c r="M333" i="2"/>
  <c r="F167" i="2"/>
  <c r="W166" i="2"/>
  <c r="Q331" i="2"/>
  <c r="O332" i="2"/>
  <c r="P332" i="2" s="1"/>
  <c r="D334" i="2"/>
  <c r="E335" i="2" s="1"/>
  <c r="L334" i="2"/>
  <c r="B334" i="2"/>
  <c r="T334" i="2"/>
  <c r="A335" i="2"/>
  <c r="S335" i="2" s="1"/>
  <c r="C334" i="2"/>
  <c r="M334" i="2" l="1"/>
  <c r="N334" i="2"/>
  <c r="L335" i="2"/>
  <c r="T335" i="2"/>
  <c r="D335" i="2"/>
  <c r="E336" i="2" s="1"/>
  <c r="B335" i="2"/>
  <c r="A336" i="2"/>
  <c r="S336" i="2" s="1"/>
  <c r="C335" i="2"/>
  <c r="Q332" i="2"/>
  <c r="O333" i="2"/>
  <c r="P333" i="2" s="1"/>
  <c r="U167" i="2"/>
  <c r="V167" i="2" s="1"/>
  <c r="M335" i="2" l="1"/>
  <c r="N335" i="2"/>
  <c r="W167" i="2"/>
  <c r="F168" i="2"/>
  <c r="D336" i="2"/>
  <c r="E337" i="2" s="1"/>
  <c r="B336" i="2"/>
  <c r="T336" i="2"/>
  <c r="A337" i="2"/>
  <c r="S337" i="2" s="1"/>
  <c r="L336" i="2"/>
  <c r="M336" i="2" s="1"/>
  <c r="C336" i="2"/>
  <c r="Q333" i="2"/>
  <c r="O334" i="2"/>
  <c r="P334" i="2" s="1"/>
  <c r="Q334" i="2" l="1"/>
  <c r="O335" i="2"/>
  <c r="P335" i="2" s="1"/>
  <c r="N336" i="2"/>
  <c r="A338" i="2"/>
  <c r="D337" i="2"/>
  <c r="E338" i="2" s="1"/>
  <c r="L337" i="2"/>
  <c r="M337" i="2" s="1"/>
  <c r="C337" i="2"/>
  <c r="B337" i="2"/>
  <c r="T337" i="2"/>
  <c r="U168" i="2"/>
  <c r="V168" i="2" s="1"/>
  <c r="W168" i="2" l="1"/>
  <c r="F169" i="2"/>
  <c r="N337" i="2"/>
  <c r="Q335" i="2"/>
  <c r="O336" i="2"/>
  <c r="P336" i="2" s="1"/>
  <c r="L338" i="2"/>
  <c r="M338" i="2" s="1"/>
  <c r="C338" i="2"/>
  <c r="D338" i="2"/>
  <c r="E339" i="2" s="1"/>
  <c r="B338" i="2"/>
  <c r="A339" i="2"/>
  <c r="S339" i="2" s="1"/>
  <c r="T338" i="2"/>
  <c r="A340" i="2" l="1"/>
  <c r="S340" i="2" s="1"/>
  <c r="T339" i="2"/>
  <c r="B339" i="2"/>
  <c r="L339" i="2"/>
  <c r="M339" i="2" s="1"/>
  <c r="C339" i="2"/>
  <c r="D339" i="2"/>
  <c r="E340" i="2" s="1"/>
  <c r="Q336" i="2"/>
  <c r="N338" i="2"/>
  <c r="S338" i="2" s="1"/>
  <c r="O337" i="2"/>
  <c r="P337" i="2" s="1"/>
  <c r="U169" i="2"/>
  <c r="V169" i="2" s="1"/>
  <c r="W169" i="2" l="1"/>
  <c r="F170" i="2"/>
  <c r="B340" i="2"/>
  <c r="L340" i="2"/>
  <c r="M340" i="2" s="1"/>
  <c r="C340" i="2"/>
  <c r="D340" i="2"/>
  <c r="E341" i="2" s="1"/>
  <c r="T340" i="2"/>
  <c r="A341" i="2"/>
  <c r="Q337" i="2"/>
  <c r="O338" i="2"/>
  <c r="P338" i="2" s="1"/>
  <c r="N339" i="2"/>
  <c r="N340" i="2" l="1"/>
  <c r="B341" i="2"/>
  <c r="D341" i="2"/>
  <c r="E342" i="2" s="1"/>
  <c r="C341" i="2"/>
  <c r="L341" i="2"/>
  <c r="M341" i="2" s="1"/>
  <c r="A342" i="2"/>
  <c r="T341" i="2"/>
  <c r="U170" i="2"/>
  <c r="V170" i="2" s="1"/>
  <c r="Q338" i="2"/>
  <c r="O339" i="2"/>
  <c r="P339" i="2" s="1"/>
  <c r="L342" i="2" l="1"/>
  <c r="M342" i="2" s="1"/>
  <c r="C342" i="2"/>
  <c r="B342" i="2"/>
  <c r="D342" i="2"/>
  <c r="E343" i="2" s="1"/>
  <c r="T342" i="2"/>
  <c r="A343" i="2"/>
  <c r="N341" i="2"/>
  <c r="S341" i="2" s="1"/>
  <c r="Q339" i="2"/>
  <c r="O340" i="2"/>
  <c r="P340" i="2" s="1"/>
  <c r="F171" i="2"/>
  <c r="W170" i="2"/>
  <c r="N342" i="2" l="1"/>
  <c r="S342" i="2" s="1"/>
  <c r="Q340" i="2"/>
  <c r="O341" i="2"/>
  <c r="P341" i="2" s="1"/>
  <c r="U171" i="2"/>
  <c r="V171" i="2" s="1"/>
  <c r="L343" i="2"/>
  <c r="B343" i="2"/>
  <c r="T343" i="2"/>
  <c r="C343" i="2"/>
  <c r="A344" i="2"/>
  <c r="D343" i="2"/>
  <c r="E344" i="2" s="1"/>
  <c r="N343" i="2" l="1"/>
  <c r="M343" i="2"/>
  <c r="S343" i="2" s="1"/>
  <c r="Q341" i="2"/>
  <c r="O342" i="2"/>
  <c r="P342" i="2" s="1"/>
  <c r="W171" i="2"/>
  <c r="F172" i="2"/>
  <c r="L344" i="2"/>
  <c r="D344" i="2"/>
  <c r="E345" i="2" s="1"/>
  <c r="T344" i="2"/>
  <c r="C344" i="2"/>
  <c r="B344" i="2"/>
  <c r="A345" i="2"/>
  <c r="S345" i="2" s="1"/>
  <c r="M344" i="2" l="1"/>
  <c r="B345" i="2"/>
  <c r="C345" i="2"/>
  <c r="L345" i="2"/>
  <c r="D345" i="2"/>
  <c r="E346" i="2" s="1"/>
  <c r="T345" i="2"/>
  <c r="A346" i="2"/>
  <c r="S346" i="2" s="1"/>
  <c r="U172" i="2"/>
  <c r="V172" i="2" s="1"/>
  <c r="Q342" i="2"/>
  <c r="O343" i="2"/>
  <c r="P343" i="2" s="1"/>
  <c r="N344" i="2"/>
  <c r="S344" i="2" l="1"/>
  <c r="M345" i="2"/>
  <c r="N345" i="2"/>
  <c r="F173" i="2"/>
  <c r="W172" i="2"/>
  <c r="L346" i="2"/>
  <c r="M346" i="2" s="1"/>
  <c r="C346" i="2"/>
  <c r="D346" i="2"/>
  <c r="E347" i="2" s="1"/>
  <c r="B346" i="2"/>
  <c r="T346" i="2"/>
  <c r="A347" i="2"/>
  <c r="S347" i="2" s="1"/>
  <c r="Q343" i="2"/>
  <c r="O344" i="2"/>
  <c r="P344" i="2" s="1"/>
  <c r="N346" i="2" l="1"/>
  <c r="Q344" i="2"/>
  <c r="O345" i="2"/>
  <c r="P345" i="2" s="1"/>
  <c r="T347" i="2"/>
  <c r="L347" i="2"/>
  <c r="M347" i="2" s="1"/>
  <c r="D347" i="2"/>
  <c r="E348" i="2" s="1"/>
  <c r="B347" i="2"/>
  <c r="A348" i="2"/>
  <c r="S348" i="2" s="1"/>
  <c r="C347" i="2"/>
  <c r="U173" i="2"/>
  <c r="V173" i="2" s="1"/>
  <c r="N347" i="2" l="1"/>
  <c r="Q345" i="2"/>
  <c r="O346" i="2"/>
  <c r="P346" i="2" s="1"/>
  <c r="A349" i="2"/>
  <c r="S349" i="2" s="1"/>
  <c r="C348" i="2"/>
  <c r="L348" i="2"/>
  <c r="M348" i="2" s="1"/>
  <c r="D348" i="2"/>
  <c r="E349" i="2" s="1"/>
  <c r="B348" i="2"/>
  <c r="T348" i="2"/>
  <c r="F174" i="2"/>
  <c r="W173" i="2"/>
  <c r="U174" i="2" l="1"/>
  <c r="V174" i="2" s="1"/>
  <c r="N348" i="2"/>
  <c r="D349" i="2"/>
  <c r="E350" i="2" s="1"/>
  <c r="B349" i="2"/>
  <c r="A350" i="2"/>
  <c r="C349" i="2"/>
  <c r="T349" i="2"/>
  <c r="L349" i="2"/>
  <c r="M349" i="2" s="1"/>
  <c r="Q346" i="2"/>
  <c r="O347" i="2"/>
  <c r="P347" i="2" s="1"/>
  <c r="W174" i="2" l="1"/>
  <c r="F175" i="2"/>
  <c r="D350" i="2"/>
  <c r="E351" i="2" s="1"/>
  <c r="C350" i="2"/>
  <c r="L350" i="2"/>
  <c r="M350" i="2" s="1"/>
  <c r="T350" i="2"/>
  <c r="B350" i="2"/>
  <c r="A351" i="2"/>
  <c r="S351" i="2" s="1"/>
  <c r="Q347" i="2"/>
  <c r="O348" i="2"/>
  <c r="P348" i="2" s="1"/>
  <c r="N349" i="2"/>
  <c r="O349" i="2" l="1"/>
  <c r="P349" i="2" s="1"/>
  <c r="N350" i="2"/>
  <c r="S350" i="2" s="1"/>
  <c r="Q348" i="2"/>
  <c r="D351" i="2"/>
  <c r="E352" i="2" s="1"/>
  <c r="T351" i="2"/>
  <c r="C351" i="2"/>
  <c r="A352" i="2"/>
  <c r="S352" i="2" s="1"/>
  <c r="L351" i="2"/>
  <c r="M351" i="2" s="1"/>
  <c r="B351" i="2"/>
  <c r="U175" i="2"/>
  <c r="V175" i="2" s="1"/>
  <c r="Q349" i="2" l="1"/>
  <c r="N351" i="2"/>
  <c r="W175" i="2"/>
  <c r="F176" i="2"/>
  <c r="C352" i="2"/>
  <c r="A353" i="2"/>
  <c r="T352" i="2"/>
  <c r="D352" i="2"/>
  <c r="E353" i="2" s="1"/>
  <c r="L352" i="2"/>
  <c r="M352" i="2" s="1"/>
  <c r="B352" i="2"/>
  <c r="O350" i="2"/>
  <c r="P350" i="2" s="1"/>
  <c r="N352" i="2" l="1"/>
  <c r="B353" i="2"/>
  <c r="T353" i="2"/>
  <c r="C353" i="2"/>
  <c r="D353" i="2"/>
  <c r="E354" i="2" s="1"/>
  <c r="A354" i="2"/>
  <c r="L353" i="2"/>
  <c r="M353" i="2" s="1"/>
  <c r="U176" i="2"/>
  <c r="V176" i="2" s="1"/>
  <c r="Q350" i="2"/>
  <c r="O351" i="2"/>
  <c r="P351" i="2" s="1"/>
  <c r="W176" i="2" l="1"/>
  <c r="F177" i="2"/>
  <c r="Q351" i="2"/>
  <c r="O352" i="2"/>
  <c r="P352" i="2" s="1"/>
  <c r="N353" i="2"/>
  <c r="S353" i="2" s="1"/>
  <c r="L354" i="2"/>
  <c r="M354" i="2" s="1"/>
  <c r="C354" i="2"/>
  <c r="B354" i="2"/>
  <c r="T354" i="2"/>
  <c r="A355" i="2"/>
  <c r="D354" i="2"/>
  <c r="E355" i="2" s="1"/>
  <c r="U177" i="2" l="1"/>
  <c r="V177" i="2" s="1"/>
  <c r="T355" i="2"/>
  <c r="L355" i="2"/>
  <c r="M355" i="2" s="1"/>
  <c r="B355" i="2"/>
  <c r="A356" i="2"/>
  <c r="C355" i="2"/>
  <c r="D355" i="2"/>
  <c r="E356" i="2" s="1"/>
  <c r="N354" i="2"/>
  <c r="S354" i="2" s="1"/>
  <c r="Q352" i="2"/>
  <c r="O353" i="2"/>
  <c r="P353" i="2" s="1"/>
  <c r="W177" i="2" l="1"/>
  <c r="F178" i="2"/>
  <c r="B356" i="2"/>
  <c r="C356" i="2"/>
  <c r="T356" i="2"/>
  <c r="L356" i="2"/>
  <c r="M356" i="2" s="1"/>
  <c r="A357" i="2"/>
  <c r="S357" i="2" s="1"/>
  <c r="D356" i="2"/>
  <c r="E357" i="2" s="1"/>
  <c r="N355" i="2"/>
  <c r="S355" i="2" s="1"/>
  <c r="Q353" i="2"/>
  <c r="O354" i="2"/>
  <c r="P354" i="2" s="1"/>
  <c r="N356" i="2" l="1"/>
  <c r="S356" i="2" s="1"/>
  <c r="D357" i="2"/>
  <c r="E358" i="2" s="1"/>
  <c r="A358" i="2"/>
  <c r="S358" i="2" s="1"/>
  <c r="L357" i="2"/>
  <c r="T357" i="2"/>
  <c r="C357" i="2"/>
  <c r="B357" i="2"/>
  <c r="Q354" i="2"/>
  <c r="O355" i="2"/>
  <c r="P355" i="2" s="1"/>
  <c r="U178" i="2"/>
  <c r="V178" i="2" s="1"/>
  <c r="N357" i="2" l="1"/>
  <c r="W178" i="2"/>
  <c r="F179" i="2"/>
  <c r="M357" i="2"/>
  <c r="Q355" i="2"/>
  <c r="O356" i="2"/>
  <c r="P356" i="2" s="1"/>
  <c r="B358" i="2"/>
  <c r="T358" i="2"/>
  <c r="A359" i="2"/>
  <c r="S359" i="2" s="1"/>
  <c r="D358" i="2"/>
  <c r="E359" i="2" s="1"/>
  <c r="L358" i="2"/>
  <c r="C358" i="2"/>
  <c r="N358" i="2" l="1"/>
  <c r="U179" i="2"/>
  <c r="V179" i="2" s="1"/>
  <c r="B359" i="2"/>
  <c r="C359" i="2"/>
  <c r="T359" i="2"/>
  <c r="L359" i="2"/>
  <c r="A360" i="2"/>
  <c r="S360" i="2" s="1"/>
  <c r="D359" i="2"/>
  <c r="E360" i="2" s="1"/>
  <c r="M358" i="2"/>
  <c r="Q356" i="2"/>
  <c r="O357" i="2"/>
  <c r="P357" i="2" s="1"/>
  <c r="N359" i="2" l="1"/>
  <c r="F180" i="2"/>
  <c r="W179" i="2"/>
  <c r="M359" i="2"/>
  <c r="Q357" i="2"/>
  <c r="O358" i="2"/>
  <c r="P358" i="2" s="1"/>
  <c r="T360" i="2"/>
  <c r="A361" i="2"/>
  <c r="S361" i="2" s="1"/>
  <c r="C360" i="2"/>
  <c r="L360" i="2"/>
  <c r="B360" i="2"/>
  <c r="D360" i="2"/>
  <c r="E361" i="2" s="1"/>
  <c r="N360" i="2" l="1"/>
  <c r="M360" i="2"/>
  <c r="Q358" i="2"/>
  <c r="O359" i="2"/>
  <c r="P359" i="2" s="1"/>
  <c r="U180" i="2"/>
  <c r="V180" i="2" s="1"/>
  <c r="C361" i="2"/>
  <c r="D361" i="2"/>
  <c r="E362" i="2" s="1"/>
  <c r="B361" i="2"/>
  <c r="L361" i="2"/>
  <c r="A362" i="2"/>
  <c r="T361" i="2"/>
  <c r="M361" i="2" l="1"/>
  <c r="N361" i="2"/>
  <c r="F181" i="2"/>
  <c r="W180" i="2"/>
  <c r="Q359" i="2"/>
  <c r="O360" i="2"/>
  <c r="P360" i="2" s="1"/>
  <c r="T362" i="2"/>
  <c r="D362" i="2"/>
  <c r="E363" i="2" s="1"/>
  <c r="A363" i="2"/>
  <c r="S363" i="2" s="1"/>
  <c r="L362" i="2"/>
  <c r="C362" i="2"/>
  <c r="B362" i="2"/>
  <c r="O361" i="2" l="1"/>
  <c r="P361" i="2" s="1"/>
  <c r="N362" i="2"/>
  <c r="Q360" i="2"/>
  <c r="M362" i="2"/>
  <c r="S362" i="2" s="1"/>
  <c r="B363" i="2"/>
  <c r="C363" i="2"/>
  <c r="T363" i="2"/>
  <c r="A364" i="2"/>
  <c r="S364" i="2" s="1"/>
  <c r="D363" i="2"/>
  <c r="E364" i="2" s="1"/>
  <c r="L363" i="2"/>
  <c r="U181" i="2"/>
  <c r="V181" i="2" s="1"/>
  <c r="Q361" i="2" l="1"/>
  <c r="O362" i="2"/>
  <c r="P362" i="2" s="1"/>
  <c r="M363" i="2"/>
  <c r="N363" i="2"/>
  <c r="W181" i="2"/>
  <c r="F182" i="2"/>
  <c r="A365" i="2"/>
  <c r="C364" i="2"/>
  <c r="L364" i="2"/>
  <c r="D364" i="2"/>
  <c r="E365" i="2" s="1"/>
  <c r="B364" i="2"/>
  <c r="T364" i="2"/>
  <c r="Q362" i="2" l="1"/>
  <c r="M364" i="2"/>
  <c r="O363" i="2"/>
  <c r="P363" i="2" s="1"/>
  <c r="N364" i="2"/>
  <c r="T365" i="2"/>
  <c r="C365" i="2"/>
  <c r="A366" i="2"/>
  <c r="L365" i="2"/>
  <c r="B365" i="2"/>
  <c r="D365" i="2"/>
  <c r="E366" i="2" s="1"/>
  <c r="U182" i="2"/>
  <c r="V182" i="2" s="1"/>
  <c r="Q363" i="2" l="1"/>
  <c r="M365" i="2"/>
  <c r="O364" i="2"/>
  <c r="P364" i="2" s="1"/>
  <c r="N365" i="2"/>
  <c r="T366" i="2"/>
  <c r="D366" i="2"/>
  <c r="E367" i="2" s="1"/>
  <c r="L366" i="2"/>
  <c r="C366" i="2"/>
  <c r="A367" i="2"/>
  <c r="B366" i="2"/>
  <c r="W182" i="2"/>
  <c r="F183" i="2"/>
  <c r="Q364" i="2" l="1"/>
  <c r="S365" i="2"/>
  <c r="M366" i="2"/>
  <c r="O365" i="2"/>
  <c r="P365" i="2" s="1"/>
  <c r="N366" i="2"/>
  <c r="U183" i="2"/>
  <c r="V183" i="2" s="1"/>
  <c r="T367" i="2"/>
  <c r="L367" i="2"/>
  <c r="C367" i="2"/>
  <c r="D367" i="2"/>
  <c r="E368" i="2" s="1"/>
  <c r="A368" i="2"/>
  <c r="B367" i="2"/>
  <c r="Q365" i="2" l="1"/>
  <c r="S366" i="2"/>
  <c r="M367" i="2"/>
  <c r="O366" i="2"/>
  <c r="P366" i="2" s="1"/>
  <c r="W183" i="2"/>
  <c r="F184" i="2"/>
  <c r="N367" i="2"/>
  <c r="A369" i="2"/>
  <c r="S369" i="2" s="1"/>
  <c r="L368" i="2"/>
  <c r="D368" i="2"/>
  <c r="E369" i="2" s="1"/>
  <c r="B368" i="2"/>
  <c r="C368" i="2"/>
  <c r="T368" i="2"/>
  <c r="S367" i="2" l="1"/>
  <c r="Q366" i="2"/>
  <c r="M368" i="2"/>
  <c r="O367" i="2"/>
  <c r="P367" i="2" s="1"/>
  <c r="U184" i="2"/>
  <c r="V184" i="2" s="1"/>
  <c r="B369" i="2"/>
  <c r="A370" i="2"/>
  <c r="S370" i="2" s="1"/>
  <c r="D369" i="2"/>
  <c r="E370" i="2" s="1"/>
  <c r="C369" i="2"/>
  <c r="L369" i="2"/>
  <c r="T369" i="2"/>
  <c r="N368" i="2"/>
  <c r="S368" i="2" l="1"/>
  <c r="Q367" i="2"/>
  <c r="M369" i="2"/>
  <c r="O368" i="2"/>
  <c r="P368" i="2" s="1"/>
  <c r="F185" i="2"/>
  <c r="W184" i="2"/>
  <c r="A371" i="2"/>
  <c r="S371" i="2" s="1"/>
  <c r="T370" i="2"/>
  <c r="L370" i="2"/>
  <c r="B370" i="2"/>
  <c r="C370" i="2"/>
  <c r="D370" i="2"/>
  <c r="E371" i="2" s="1"/>
  <c r="N369" i="2"/>
  <c r="Q368" i="2" l="1"/>
  <c r="M370" i="2"/>
  <c r="O369" i="2"/>
  <c r="P369" i="2" s="1"/>
  <c r="L371" i="2"/>
  <c r="B371" i="2"/>
  <c r="D371" i="2"/>
  <c r="E372" i="2" s="1"/>
  <c r="C371" i="2"/>
  <c r="T371" i="2"/>
  <c r="A372" i="2"/>
  <c r="S372" i="2" s="1"/>
  <c r="U185" i="2"/>
  <c r="V185" i="2" s="1"/>
  <c r="N370" i="2"/>
  <c r="Q369" i="2" l="1"/>
  <c r="M371" i="2"/>
  <c r="N371" i="2"/>
  <c r="F186" i="2"/>
  <c r="W185" i="2"/>
  <c r="O370" i="2"/>
  <c r="P370" i="2" s="1"/>
  <c r="C372" i="2"/>
  <c r="T372" i="2"/>
  <c r="B372" i="2"/>
  <c r="D372" i="2"/>
  <c r="E373" i="2" s="1"/>
  <c r="L372" i="2"/>
  <c r="A373" i="2"/>
  <c r="S373" i="2" s="1"/>
  <c r="M372" i="2" l="1"/>
  <c r="C373" i="2"/>
  <c r="D373" i="2"/>
  <c r="E374" i="2" s="1"/>
  <c r="A374" i="2"/>
  <c r="L373" i="2"/>
  <c r="B373" i="2"/>
  <c r="T373" i="2"/>
  <c r="Q370" i="2"/>
  <c r="O371" i="2"/>
  <c r="P371" i="2" s="1"/>
  <c r="U186" i="2"/>
  <c r="V186" i="2" s="1"/>
  <c r="N372" i="2"/>
  <c r="M373" i="2" l="1"/>
  <c r="N373" i="2"/>
  <c r="W186" i="2"/>
  <c r="F187" i="2"/>
  <c r="Q371" i="2"/>
  <c r="O372" i="2"/>
  <c r="P372" i="2" s="1"/>
  <c r="C374" i="2"/>
  <c r="D374" i="2"/>
  <c r="E375" i="2" s="1"/>
  <c r="A375" i="2"/>
  <c r="S375" i="2" s="1"/>
  <c r="B374" i="2"/>
  <c r="L374" i="2"/>
  <c r="T374" i="2"/>
  <c r="M374" i="2" l="1"/>
  <c r="O373" i="2"/>
  <c r="P373" i="2" s="1"/>
  <c r="N374" i="2"/>
  <c r="B375" i="2"/>
  <c r="A376" i="2"/>
  <c r="S376" i="2" s="1"/>
  <c r="C375" i="2"/>
  <c r="D375" i="2"/>
  <c r="E376" i="2" s="1"/>
  <c r="L375" i="2"/>
  <c r="M375" i="2" s="1"/>
  <c r="T375" i="2"/>
  <c r="U187" i="2"/>
  <c r="V187" i="2" s="1"/>
  <c r="Q372" i="2"/>
  <c r="S374" i="2" l="1"/>
  <c r="O374" i="2"/>
  <c r="Q373" i="2"/>
  <c r="W187" i="2"/>
  <c r="F188" i="2"/>
  <c r="D376" i="2"/>
  <c r="E377" i="2" s="1"/>
  <c r="T376" i="2"/>
  <c r="B376" i="2"/>
  <c r="C376" i="2"/>
  <c r="A377" i="2"/>
  <c r="L376" i="2"/>
  <c r="M376" i="2" s="1"/>
  <c r="N375" i="2"/>
  <c r="P374" i="2" l="1"/>
  <c r="Q374" i="2" s="1"/>
  <c r="N376" i="2"/>
  <c r="O375" i="2"/>
  <c r="P375" i="2" s="1"/>
  <c r="U188" i="2"/>
  <c r="V188" i="2" s="1"/>
  <c r="B377" i="2"/>
  <c r="D377" i="2"/>
  <c r="E378" i="2" s="1"/>
  <c r="A378" i="2"/>
  <c r="L377" i="2"/>
  <c r="M377" i="2" s="1"/>
  <c r="C377" i="2"/>
  <c r="T377" i="2"/>
  <c r="L378" i="2" l="1"/>
  <c r="M378" i="2" s="1"/>
  <c r="C378" i="2"/>
  <c r="B378" i="2"/>
  <c r="A379" i="2"/>
  <c r="T378" i="2"/>
  <c r="D378" i="2"/>
  <c r="E379" i="2" s="1"/>
  <c r="N377" i="2"/>
  <c r="S377" i="2" s="1"/>
  <c r="Q375" i="2"/>
  <c r="O376" i="2"/>
  <c r="P376" i="2" s="1"/>
  <c r="W188" i="2"/>
  <c r="F189" i="2"/>
  <c r="U189" i="2" l="1"/>
  <c r="V189" i="2" s="1"/>
  <c r="N378" i="2"/>
  <c r="S378" i="2" s="1"/>
  <c r="C379" i="2"/>
  <c r="T379" i="2"/>
  <c r="A380" i="2"/>
  <c r="B379" i="2"/>
  <c r="D379" i="2"/>
  <c r="E380" i="2" s="1"/>
  <c r="L379" i="2"/>
  <c r="M379" i="2" s="1"/>
  <c r="Q376" i="2"/>
  <c r="O377" i="2"/>
  <c r="P377" i="2" s="1"/>
  <c r="L380" i="2" l="1"/>
  <c r="M380" i="2" s="1"/>
  <c r="C380" i="2"/>
  <c r="B380" i="2"/>
  <c r="T380" i="2"/>
  <c r="D380" i="2"/>
  <c r="E381" i="2" s="1"/>
  <c r="A381" i="2"/>
  <c r="S381" i="2" s="1"/>
  <c r="Q377" i="2"/>
  <c r="O378" i="2"/>
  <c r="P378" i="2" s="1"/>
  <c r="W189" i="2"/>
  <c r="F190" i="2"/>
  <c r="N379" i="2"/>
  <c r="S379" i="2" s="1"/>
  <c r="U190" i="2" l="1"/>
  <c r="V190" i="2" s="1"/>
  <c r="N380" i="2"/>
  <c r="S380" i="2" s="1"/>
  <c r="D381" i="2"/>
  <c r="E382" i="2" s="1"/>
  <c r="L381" i="2"/>
  <c r="M381" i="2" s="1"/>
  <c r="B381" i="2"/>
  <c r="T381" i="2"/>
  <c r="C381" i="2"/>
  <c r="A382" i="2"/>
  <c r="S382" i="2" s="1"/>
  <c r="Q378" i="2"/>
  <c r="O379" i="2"/>
  <c r="P379" i="2" s="1"/>
  <c r="W190" i="2" l="1"/>
  <c r="F191" i="2"/>
  <c r="Q379" i="2"/>
  <c r="O380" i="2"/>
  <c r="P380" i="2" s="1"/>
  <c r="L382" i="2"/>
  <c r="M382" i="2" s="1"/>
  <c r="D382" i="2"/>
  <c r="E383" i="2" s="1"/>
  <c r="T382" i="2"/>
  <c r="B382" i="2"/>
  <c r="A383" i="2"/>
  <c r="S383" i="2" s="1"/>
  <c r="C382" i="2"/>
  <c r="N381" i="2"/>
  <c r="L383" i="2" l="1"/>
  <c r="M383" i="2" s="1"/>
  <c r="D383" i="2"/>
  <c r="E384" i="2" s="1"/>
  <c r="T383" i="2"/>
  <c r="A384" i="2"/>
  <c r="S384" i="2" s="1"/>
  <c r="C383" i="2"/>
  <c r="B383" i="2"/>
  <c r="N382" i="2"/>
  <c r="U191" i="2"/>
  <c r="V191" i="2" s="1"/>
  <c r="Q380" i="2"/>
  <c r="O381" i="2"/>
  <c r="P381" i="2" s="1"/>
  <c r="N383" i="2" l="1"/>
  <c r="Q381" i="2"/>
  <c r="O382" i="2"/>
  <c r="P382" i="2" s="1"/>
  <c r="A385" i="2"/>
  <c r="S385" i="2" s="1"/>
  <c r="B384" i="2"/>
  <c r="C384" i="2"/>
  <c r="T384" i="2"/>
  <c r="D384" i="2"/>
  <c r="E385" i="2" s="1"/>
  <c r="L384" i="2"/>
  <c r="M384" i="2" s="1"/>
  <c r="W191" i="2"/>
  <c r="F192" i="2"/>
  <c r="N384" i="2" l="1"/>
  <c r="U192" i="2"/>
  <c r="V192" i="2" s="1"/>
  <c r="Q382" i="2"/>
  <c r="O383" i="2"/>
  <c r="P383" i="2" s="1"/>
  <c r="A386" i="2"/>
  <c r="L385" i="2"/>
  <c r="M385" i="2" s="1"/>
  <c r="C385" i="2"/>
  <c r="B385" i="2"/>
  <c r="T385" i="2"/>
  <c r="D385" i="2"/>
  <c r="E386" i="2" s="1"/>
  <c r="N385" i="2" l="1"/>
  <c r="A387" i="2"/>
  <c r="S387" i="2" s="1"/>
  <c r="T386" i="2"/>
  <c r="C386" i="2"/>
  <c r="L386" i="2"/>
  <c r="M386" i="2" s="1"/>
  <c r="D386" i="2"/>
  <c r="E387" i="2" s="1"/>
  <c r="B386" i="2"/>
  <c r="Q383" i="2"/>
  <c r="O384" i="2"/>
  <c r="P384" i="2" s="1"/>
  <c r="F193" i="2"/>
  <c r="W192" i="2"/>
  <c r="O385" i="2" l="1"/>
  <c r="P385" i="2" s="1"/>
  <c r="Q384" i="2"/>
  <c r="N386" i="2"/>
  <c r="S386" i="2" s="1"/>
  <c r="U193" i="2"/>
  <c r="V193" i="2" s="1"/>
  <c r="A388" i="2"/>
  <c r="S388" i="2" s="1"/>
  <c r="B387" i="2"/>
  <c r="L387" i="2"/>
  <c r="M387" i="2" s="1"/>
  <c r="D387" i="2"/>
  <c r="E388" i="2" s="1"/>
  <c r="T387" i="2"/>
  <c r="C387" i="2"/>
  <c r="O386" i="2" l="1"/>
  <c r="Q385" i="2"/>
  <c r="W193" i="2"/>
  <c r="F194" i="2"/>
  <c r="N387" i="2"/>
  <c r="B388" i="2"/>
  <c r="C388" i="2"/>
  <c r="D388" i="2"/>
  <c r="E389" i="2" s="1"/>
  <c r="L388" i="2"/>
  <c r="M388" i="2" s="1"/>
  <c r="A389" i="2"/>
  <c r="T388" i="2"/>
  <c r="P386" i="2" l="1"/>
  <c r="Q386" i="2" s="1"/>
  <c r="O387" i="2"/>
  <c r="N388" i="2"/>
  <c r="U194" i="2"/>
  <c r="V194" i="2" s="1"/>
  <c r="B389" i="2"/>
  <c r="L389" i="2"/>
  <c r="M389" i="2" s="1"/>
  <c r="C389" i="2"/>
  <c r="D389" i="2"/>
  <c r="E390" i="2" s="1"/>
  <c r="A390" i="2"/>
  <c r="T389" i="2"/>
  <c r="P387" i="2" l="1"/>
  <c r="Q387" i="2" s="1"/>
  <c r="O388" i="2"/>
  <c r="W194" i="2"/>
  <c r="F195" i="2"/>
  <c r="B390" i="2"/>
  <c r="A391" i="2"/>
  <c r="D390" i="2"/>
  <c r="E391" i="2" s="1"/>
  <c r="L390" i="2"/>
  <c r="M390" i="2" s="1"/>
  <c r="T390" i="2"/>
  <c r="C390" i="2"/>
  <c r="N389" i="2"/>
  <c r="S389" i="2" s="1"/>
  <c r="P388" i="2" l="1"/>
  <c r="Q388" i="2" s="1"/>
  <c r="U195" i="2"/>
  <c r="V195" i="2" s="1"/>
  <c r="N390" i="2"/>
  <c r="S390" i="2" s="1"/>
  <c r="O389" i="2"/>
  <c r="P389" i="2" s="1"/>
  <c r="L391" i="2"/>
  <c r="M391" i="2" s="1"/>
  <c r="B391" i="2"/>
  <c r="C391" i="2"/>
  <c r="A392" i="2"/>
  <c r="T391" i="2"/>
  <c r="D391" i="2"/>
  <c r="E392" i="2" s="1"/>
  <c r="A393" i="2" l="1"/>
  <c r="S393" i="2" s="1"/>
  <c r="B392" i="2"/>
  <c r="D392" i="2"/>
  <c r="E393" i="2" s="1"/>
  <c r="C392" i="2"/>
  <c r="L392" i="2"/>
  <c r="M392" i="2" s="1"/>
  <c r="T392" i="2"/>
  <c r="F196" i="2"/>
  <c r="W195" i="2"/>
  <c r="Q389" i="2"/>
  <c r="O390" i="2"/>
  <c r="P390" i="2" s="1"/>
  <c r="N391" i="2"/>
  <c r="S391" i="2" s="1"/>
  <c r="Q390" i="2" l="1"/>
  <c r="O391" i="2"/>
  <c r="P391" i="2" s="1"/>
  <c r="N392" i="2"/>
  <c r="S392" i="2" s="1"/>
  <c r="U196" i="2"/>
  <c r="V196" i="2" s="1"/>
  <c r="A394" i="2"/>
  <c r="S394" i="2" s="1"/>
  <c r="B393" i="2"/>
  <c r="T393" i="2"/>
  <c r="C393" i="2"/>
  <c r="L393" i="2"/>
  <c r="M393" i="2" s="1"/>
  <c r="D393" i="2"/>
  <c r="E394" i="2" s="1"/>
  <c r="W196" i="2" l="1"/>
  <c r="F197" i="2"/>
  <c r="T394" i="2"/>
  <c r="B394" i="2"/>
  <c r="C394" i="2"/>
  <c r="D394" i="2"/>
  <c r="E395" i="2" s="1"/>
  <c r="A395" i="2"/>
  <c r="S395" i="2" s="1"/>
  <c r="L394" i="2"/>
  <c r="M394" i="2" s="1"/>
  <c r="Q391" i="2"/>
  <c r="O392" i="2"/>
  <c r="P392" i="2" s="1"/>
  <c r="N393" i="2"/>
  <c r="Q392" i="2" l="1"/>
  <c r="O393" i="2"/>
  <c r="P393" i="2" s="1"/>
  <c r="N394" i="2"/>
  <c r="B395" i="2"/>
  <c r="D395" i="2"/>
  <c r="E396" i="2" s="1"/>
  <c r="C395" i="2"/>
  <c r="A396" i="2"/>
  <c r="S396" i="2" s="1"/>
  <c r="L395" i="2"/>
  <c r="M395" i="2" s="1"/>
  <c r="T395" i="2"/>
  <c r="U197" i="2"/>
  <c r="V197" i="2" s="1"/>
  <c r="C396" i="2" l="1"/>
  <c r="L396" i="2"/>
  <c r="M396" i="2" s="1"/>
  <c r="B396" i="2"/>
  <c r="T396" i="2"/>
  <c r="A397" i="2"/>
  <c r="S397" i="2" s="1"/>
  <c r="D396" i="2"/>
  <c r="E397" i="2" s="1"/>
  <c r="Q393" i="2"/>
  <c r="O394" i="2"/>
  <c r="P394" i="2" s="1"/>
  <c r="F198" i="2"/>
  <c r="W197" i="2"/>
  <c r="N395" i="2"/>
  <c r="N396" i="2" l="1"/>
  <c r="L397" i="2"/>
  <c r="M397" i="2" s="1"/>
  <c r="B397" i="2"/>
  <c r="D397" i="2"/>
  <c r="E398" i="2" s="1"/>
  <c r="A398" i="2"/>
  <c r="T397" i="2"/>
  <c r="C397" i="2"/>
  <c r="U198" i="2"/>
  <c r="V198" i="2" s="1"/>
  <c r="Q394" i="2"/>
  <c r="O395" i="2"/>
  <c r="P395" i="2" s="1"/>
  <c r="N397" i="2" l="1"/>
  <c r="W198" i="2"/>
  <c r="F199" i="2"/>
  <c r="Q395" i="2"/>
  <c r="O396" i="2"/>
  <c r="P396" i="2" s="1"/>
  <c r="T398" i="2"/>
  <c r="A399" i="2"/>
  <c r="S399" i="2" s="1"/>
  <c r="C398" i="2"/>
  <c r="L398" i="2"/>
  <c r="M398" i="2" s="1"/>
  <c r="B398" i="2"/>
  <c r="D398" i="2"/>
  <c r="E399" i="2" s="1"/>
  <c r="O397" i="2" l="1"/>
  <c r="P397" i="2" s="1"/>
  <c r="Q396" i="2"/>
  <c r="N398" i="2"/>
  <c r="S398" i="2" s="1"/>
  <c r="A400" i="2"/>
  <c r="S400" i="2" s="1"/>
  <c r="L399" i="2"/>
  <c r="M399" i="2" s="1"/>
  <c r="C399" i="2"/>
  <c r="D399" i="2"/>
  <c r="E400" i="2" s="1"/>
  <c r="T399" i="2"/>
  <c r="B399" i="2"/>
  <c r="U199" i="2"/>
  <c r="V199" i="2" s="1"/>
  <c r="Q397" i="2" l="1"/>
  <c r="N399" i="2"/>
  <c r="F200" i="2"/>
  <c r="W199" i="2"/>
  <c r="L400" i="2"/>
  <c r="M400" i="2" s="1"/>
  <c r="D400" i="2"/>
  <c r="E401" i="2" s="1"/>
  <c r="C400" i="2"/>
  <c r="A401" i="2"/>
  <c r="B400" i="2"/>
  <c r="T400" i="2"/>
  <c r="O398" i="2"/>
  <c r="P398" i="2" s="1"/>
  <c r="Q398" i="2" l="1"/>
  <c r="O399" i="2"/>
  <c r="P399" i="2" s="1"/>
  <c r="N400" i="2"/>
  <c r="D401" i="2"/>
  <c r="E402" i="2" s="1"/>
  <c r="A402" i="2"/>
  <c r="L401" i="2"/>
  <c r="M401" i="2" s="1"/>
  <c r="B401" i="2"/>
  <c r="T401" i="2"/>
  <c r="C401" i="2"/>
  <c r="U200" i="2"/>
  <c r="V200" i="2" s="1"/>
  <c r="F201" i="2" l="1"/>
  <c r="W200" i="2"/>
  <c r="N401" i="2"/>
  <c r="S401" i="2" s="1"/>
  <c r="A403" i="2"/>
  <c r="C402" i="2"/>
  <c r="T402" i="2"/>
  <c r="D402" i="2"/>
  <c r="E403" i="2" s="1"/>
  <c r="L402" i="2"/>
  <c r="M402" i="2" s="1"/>
  <c r="B402" i="2"/>
  <c r="Q399" i="2"/>
  <c r="O400" i="2"/>
  <c r="P400" i="2" s="1"/>
  <c r="A404" i="2" l="1"/>
  <c r="B403" i="2"/>
  <c r="C403" i="2"/>
  <c r="L403" i="2"/>
  <c r="M403" i="2" s="1"/>
  <c r="D403" i="2"/>
  <c r="E404" i="2" s="1"/>
  <c r="T403" i="2"/>
  <c r="Q400" i="2"/>
  <c r="O401" i="2"/>
  <c r="P401" i="2" s="1"/>
  <c r="N402" i="2"/>
  <c r="S402" i="2" s="1"/>
  <c r="U201" i="2"/>
  <c r="V201" i="2" s="1"/>
  <c r="N403" i="2" l="1"/>
  <c r="S403" i="2" s="1"/>
  <c r="Q401" i="2"/>
  <c r="O402" i="2"/>
  <c r="P402" i="2" s="1"/>
  <c r="W201" i="2"/>
  <c r="F202" i="2"/>
  <c r="D404" i="2"/>
  <c r="E405" i="2" s="1"/>
  <c r="C404" i="2"/>
  <c r="L404" i="2"/>
  <c r="B404" i="2"/>
  <c r="T404" i="2"/>
  <c r="A405" i="2"/>
  <c r="S405" i="2" s="1"/>
  <c r="N404" i="2" l="1"/>
  <c r="M404" i="2"/>
  <c r="U202" i="2"/>
  <c r="V202" i="2" s="1"/>
  <c r="B405" i="2"/>
  <c r="A406" i="2"/>
  <c r="S406" i="2" s="1"/>
  <c r="T405" i="2"/>
  <c r="C405" i="2"/>
  <c r="D405" i="2"/>
  <c r="E406" i="2" s="1"/>
  <c r="L405" i="2"/>
  <c r="N405" i="2" s="1"/>
  <c r="Q402" i="2"/>
  <c r="O403" i="2"/>
  <c r="P403" i="2" s="1"/>
  <c r="S404" i="2" l="1"/>
  <c r="F203" i="2"/>
  <c r="W202" i="2"/>
  <c r="Q403" i="2"/>
  <c r="O404" i="2"/>
  <c r="P404" i="2" s="1"/>
  <c r="A407" i="2"/>
  <c r="S407" i="2" s="1"/>
  <c r="C406" i="2"/>
  <c r="T406" i="2"/>
  <c r="D406" i="2"/>
  <c r="E407" i="2" s="1"/>
  <c r="L406" i="2"/>
  <c r="N406" i="2" s="1"/>
  <c r="B406" i="2"/>
  <c r="M405" i="2"/>
  <c r="A408" i="2" l="1"/>
  <c r="S408" i="2" s="1"/>
  <c r="L407" i="2"/>
  <c r="N407" i="2" s="1"/>
  <c r="C407" i="2"/>
  <c r="B407" i="2"/>
  <c r="T407" i="2"/>
  <c r="D407" i="2"/>
  <c r="E408" i="2" s="1"/>
  <c r="U203" i="2"/>
  <c r="V203" i="2" s="1"/>
  <c r="M406" i="2"/>
  <c r="Q404" i="2"/>
  <c r="O405" i="2"/>
  <c r="P405" i="2" s="1"/>
  <c r="M407" i="2" l="1"/>
  <c r="D408" i="2"/>
  <c r="E409" i="2" s="1"/>
  <c r="L408" i="2"/>
  <c r="N408" i="2" s="1"/>
  <c r="A409" i="2"/>
  <c r="S409" i="2" s="1"/>
  <c r="C408" i="2"/>
  <c r="T408" i="2"/>
  <c r="B408" i="2"/>
  <c r="Q405" i="2"/>
  <c r="O406" i="2"/>
  <c r="P406" i="2" s="1"/>
  <c r="F204" i="2"/>
  <c r="W203" i="2"/>
  <c r="M408" i="2" l="1"/>
  <c r="U204" i="2"/>
  <c r="V204" i="2" s="1"/>
  <c r="A410" i="2"/>
  <c r="C409" i="2"/>
  <c r="L409" i="2"/>
  <c r="N409" i="2" s="1"/>
  <c r="D409" i="2"/>
  <c r="E410" i="2" s="1"/>
  <c r="B409" i="2"/>
  <c r="T409" i="2"/>
  <c r="Q406" i="2"/>
  <c r="O407" i="2"/>
  <c r="P407" i="2" s="1"/>
  <c r="W204" i="2" l="1"/>
  <c r="F205" i="2"/>
  <c r="Q407" i="2"/>
  <c r="O408" i="2"/>
  <c r="P408" i="2" s="1"/>
  <c r="M409" i="2"/>
  <c r="L410" i="2"/>
  <c r="N410" i="2" s="1"/>
  <c r="B410" i="2"/>
  <c r="C410" i="2"/>
  <c r="A411" i="2"/>
  <c r="S411" i="2" s="1"/>
  <c r="D410" i="2"/>
  <c r="E411" i="2" s="1"/>
  <c r="T410" i="2"/>
  <c r="Q408" i="2" l="1"/>
  <c r="M410" i="2"/>
  <c r="S410" i="2" s="1"/>
  <c r="O409" i="2"/>
  <c r="P409" i="2" s="1"/>
  <c r="A412" i="2"/>
  <c r="S412" i="2" s="1"/>
  <c r="L411" i="2"/>
  <c r="N411" i="2" s="1"/>
  <c r="T411" i="2"/>
  <c r="C411" i="2"/>
  <c r="D411" i="2"/>
  <c r="E412" i="2" s="1"/>
  <c r="B411" i="2"/>
  <c r="U205" i="2"/>
  <c r="V205" i="2" s="1"/>
  <c r="W205" i="2" l="1"/>
  <c r="F206" i="2"/>
  <c r="M411" i="2"/>
  <c r="Q409" i="2"/>
  <c r="O410" i="2"/>
  <c r="P410" i="2" s="1"/>
  <c r="C412" i="2"/>
  <c r="T412" i="2"/>
  <c r="D412" i="2"/>
  <c r="E413" i="2" s="1"/>
  <c r="A413" i="2"/>
  <c r="B412" i="2"/>
  <c r="L412" i="2"/>
  <c r="N412" i="2" s="1"/>
  <c r="Q410" i="2" l="1"/>
  <c r="O411" i="2"/>
  <c r="P411" i="2" s="1"/>
  <c r="M412" i="2"/>
  <c r="C413" i="2"/>
  <c r="B413" i="2"/>
  <c r="D413" i="2"/>
  <c r="E414" i="2" s="1"/>
  <c r="T413" i="2"/>
  <c r="A414" i="2"/>
  <c r="L413" i="2"/>
  <c r="N413" i="2" s="1"/>
  <c r="U206" i="2"/>
  <c r="V206" i="2" s="1"/>
  <c r="A415" i="2" l="1"/>
  <c r="T414" i="2"/>
  <c r="C414" i="2"/>
  <c r="B414" i="2"/>
  <c r="D414" i="2"/>
  <c r="E415" i="2" s="1"/>
  <c r="L414" i="2"/>
  <c r="N414" i="2" s="1"/>
  <c r="Q411" i="2"/>
  <c r="O412" i="2"/>
  <c r="P412" i="2" s="1"/>
  <c r="F207" i="2"/>
  <c r="W206" i="2"/>
  <c r="M413" i="2"/>
  <c r="S413" i="2" s="1"/>
  <c r="B415" i="2" l="1"/>
  <c r="L415" i="2"/>
  <c r="N415" i="2" s="1"/>
  <c r="C415" i="2"/>
  <c r="A416" i="2"/>
  <c r="T415" i="2"/>
  <c r="D415" i="2"/>
  <c r="E416" i="2" s="1"/>
  <c r="U207" i="2"/>
  <c r="V207" i="2" s="1"/>
  <c r="M414" i="2"/>
  <c r="S414" i="2" s="1"/>
  <c r="Q412" i="2"/>
  <c r="O413" i="2"/>
  <c r="P413" i="2" s="1"/>
  <c r="M415" i="2" l="1"/>
  <c r="S415" i="2" s="1"/>
  <c r="F208" i="2"/>
  <c r="W207" i="2"/>
  <c r="L416" i="2"/>
  <c r="N416" i="2" s="1"/>
  <c r="D416" i="2"/>
  <c r="E417" i="2" s="1"/>
  <c r="T416" i="2"/>
  <c r="C416" i="2"/>
  <c r="B416" i="2"/>
  <c r="A417" i="2"/>
  <c r="S417" i="2" s="1"/>
  <c r="Q413" i="2"/>
  <c r="O414" i="2"/>
  <c r="P414" i="2" s="1"/>
  <c r="M416" i="2" l="1"/>
  <c r="S416" i="2" s="1"/>
  <c r="Q414" i="2"/>
  <c r="O415" i="2"/>
  <c r="P415" i="2" s="1"/>
  <c r="U208" i="2"/>
  <c r="V208" i="2" s="1"/>
  <c r="L417" i="2"/>
  <c r="N417" i="2" s="1"/>
  <c r="A418" i="2"/>
  <c r="S418" i="2" s="1"/>
  <c r="B417" i="2"/>
  <c r="D417" i="2"/>
  <c r="E418" i="2" s="1"/>
  <c r="C417" i="2"/>
  <c r="T417" i="2"/>
  <c r="M417" i="2" l="1"/>
  <c r="W208" i="2"/>
  <c r="F209" i="2"/>
  <c r="T418" i="2"/>
  <c r="D418" i="2"/>
  <c r="E419" i="2" s="1"/>
  <c r="C418" i="2"/>
  <c r="B418" i="2"/>
  <c r="L418" i="2"/>
  <c r="A419" i="2"/>
  <c r="S419" i="2" s="1"/>
  <c r="Q415" i="2"/>
  <c r="O416" i="2"/>
  <c r="P416" i="2" s="1"/>
  <c r="M418" i="2" l="1"/>
  <c r="Q416" i="2"/>
  <c r="O417" i="2"/>
  <c r="P417" i="2" s="1"/>
  <c r="N418" i="2"/>
  <c r="T419" i="2"/>
  <c r="L419" i="2"/>
  <c r="A420" i="2"/>
  <c r="S420" i="2" s="1"/>
  <c r="D419" i="2"/>
  <c r="E420" i="2" s="1"/>
  <c r="C419" i="2"/>
  <c r="B419" i="2"/>
  <c r="U209" i="2"/>
  <c r="V209" i="2" s="1"/>
  <c r="M419" i="2" l="1"/>
  <c r="W209" i="2"/>
  <c r="F210" i="2"/>
  <c r="B420" i="2"/>
  <c r="T420" i="2"/>
  <c r="D420" i="2"/>
  <c r="E421" i="2" s="1"/>
  <c r="A421" i="2"/>
  <c r="S421" i="2" s="1"/>
  <c r="C420" i="2"/>
  <c r="L420" i="2"/>
  <c r="M420" i="2" s="1"/>
  <c r="Q417" i="2"/>
  <c r="O418" i="2"/>
  <c r="P418" i="2" s="1"/>
  <c r="N419" i="2"/>
  <c r="N420" i="2" l="1"/>
  <c r="Q418" i="2"/>
  <c r="O419" i="2"/>
  <c r="P419" i="2" s="1"/>
  <c r="U210" i="2"/>
  <c r="V210" i="2" s="1"/>
  <c r="L421" i="2"/>
  <c r="N421" i="2" s="1"/>
  <c r="D421" i="2"/>
  <c r="E422" i="2" s="1"/>
  <c r="C421" i="2"/>
  <c r="A422" i="2"/>
  <c r="B421" i="2"/>
  <c r="T421" i="2"/>
  <c r="C422" i="2" l="1"/>
  <c r="B422" i="2"/>
  <c r="T422" i="2"/>
  <c r="A423" i="2"/>
  <c r="S423" i="2" s="1"/>
  <c r="L422" i="2"/>
  <c r="N422" i="2" s="1"/>
  <c r="D422" i="2"/>
  <c r="E423" i="2" s="1"/>
  <c r="Q419" i="2"/>
  <c r="O420" i="2"/>
  <c r="P420" i="2" s="1"/>
  <c r="F211" i="2"/>
  <c r="W210" i="2"/>
  <c r="M421" i="2"/>
  <c r="Q420" i="2" l="1"/>
  <c r="U211" i="2"/>
  <c r="V211" i="2" s="1"/>
  <c r="B423" i="2"/>
  <c r="L423" i="2"/>
  <c r="N423" i="2" s="1"/>
  <c r="C423" i="2"/>
  <c r="T423" i="2"/>
  <c r="A424" i="2"/>
  <c r="S424" i="2" s="1"/>
  <c r="D423" i="2"/>
  <c r="E424" i="2" s="1"/>
  <c r="M422" i="2"/>
  <c r="S422" i="2" s="1"/>
  <c r="O421" i="2"/>
  <c r="P421" i="2" s="1"/>
  <c r="M423" i="2" l="1"/>
  <c r="T424" i="2"/>
  <c r="B424" i="2"/>
  <c r="L424" i="2"/>
  <c r="N424" i="2" s="1"/>
  <c r="C424" i="2"/>
  <c r="A425" i="2"/>
  <c r="D424" i="2"/>
  <c r="E425" i="2" s="1"/>
  <c r="F212" i="2"/>
  <c r="W211" i="2"/>
  <c r="Q421" i="2"/>
  <c r="O422" i="2"/>
  <c r="P422" i="2" s="1"/>
  <c r="Q422" i="2" l="1"/>
  <c r="O423" i="2"/>
  <c r="P423" i="2" s="1"/>
  <c r="B425" i="2"/>
  <c r="D425" i="2"/>
  <c r="E426" i="2" s="1"/>
  <c r="A426" i="2"/>
  <c r="L425" i="2"/>
  <c r="N425" i="2" s="1"/>
  <c r="C425" i="2"/>
  <c r="T425" i="2"/>
  <c r="M424" i="2"/>
  <c r="U212" i="2"/>
  <c r="V212" i="2" s="1"/>
  <c r="F213" i="2" l="1"/>
  <c r="W212" i="2"/>
  <c r="B426" i="2"/>
  <c r="C426" i="2"/>
  <c r="A427" i="2"/>
  <c r="D426" i="2"/>
  <c r="E427" i="2" s="1"/>
  <c r="T426" i="2"/>
  <c r="L426" i="2"/>
  <c r="N426" i="2" s="1"/>
  <c r="Q423" i="2"/>
  <c r="O424" i="2"/>
  <c r="P424" i="2" s="1"/>
  <c r="M425" i="2"/>
  <c r="S425" i="2" s="1"/>
  <c r="M426" i="2" l="1"/>
  <c r="S426" i="2" s="1"/>
  <c r="Q424" i="2"/>
  <c r="O425" i="2"/>
  <c r="P425" i="2" s="1"/>
  <c r="C427" i="2"/>
  <c r="T427" i="2"/>
  <c r="A428" i="2"/>
  <c r="B427" i="2"/>
  <c r="D427" i="2"/>
  <c r="E428" i="2" s="1"/>
  <c r="L427" i="2"/>
  <c r="N427" i="2" s="1"/>
  <c r="U213" i="2"/>
  <c r="V213" i="2" s="1"/>
  <c r="W213" i="2" l="1"/>
  <c r="F214" i="2"/>
  <c r="D428" i="2"/>
  <c r="E429" i="2" s="1"/>
  <c r="L428" i="2"/>
  <c r="N428" i="2" s="1"/>
  <c r="T428" i="2"/>
  <c r="C428" i="2"/>
  <c r="A429" i="2"/>
  <c r="S429" i="2" s="1"/>
  <c r="B428" i="2"/>
  <c r="M427" i="2"/>
  <c r="S427" i="2" s="1"/>
  <c r="Q425" i="2"/>
  <c r="O426" i="2"/>
  <c r="P426" i="2" s="1"/>
  <c r="M428" i="2" l="1"/>
  <c r="S428" i="2" s="1"/>
  <c r="Q426" i="2"/>
  <c r="O427" i="2"/>
  <c r="P427" i="2" s="1"/>
  <c r="T429" i="2"/>
  <c r="L429" i="2"/>
  <c r="N429" i="2" s="1"/>
  <c r="D429" i="2"/>
  <c r="E430" i="2" s="1"/>
  <c r="C429" i="2"/>
  <c r="A430" i="2"/>
  <c r="S430" i="2" s="1"/>
  <c r="B429" i="2"/>
  <c r="U214" i="2"/>
  <c r="V214" i="2" s="1"/>
  <c r="W214" i="2" l="1"/>
  <c r="F215" i="2"/>
  <c r="Q427" i="2"/>
  <c r="O428" i="2"/>
  <c r="P428" i="2" s="1"/>
  <c r="B430" i="2"/>
  <c r="C430" i="2"/>
  <c r="D430" i="2"/>
  <c r="E431" i="2" s="1"/>
  <c r="L430" i="2"/>
  <c r="N430" i="2" s="1"/>
  <c r="A431" i="2"/>
  <c r="S431" i="2" s="1"/>
  <c r="T430" i="2"/>
  <c r="M429" i="2"/>
  <c r="M430" i="2" l="1"/>
  <c r="L431" i="2"/>
  <c r="N431" i="2" s="1"/>
  <c r="B431" i="2"/>
  <c r="T431" i="2"/>
  <c r="D431" i="2"/>
  <c r="E432" i="2" s="1"/>
  <c r="A432" i="2"/>
  <c r="S432" i="2" s="1"/>
  <c r="C431" i="2"/>
  <c r="Q428" i="2"/>
  <c r="O429" i="2"/>
  <c r="P429" i="2" s="1"/>
  <c r="U215" i="2"/>
  <c r="V215" i="2" s="1"/>
  <c r="M431" i="2" l="1"/>
  <c r="W215" i="2"/>
  <c r="F216" i="2"/>
  <c r="D432" i="2"/>
  <c r="E433" i="2" s="1"/>
  <c r="L432" i="2"/>
  <c r="T432" i="2"/>
  <c r="B432" i="2"/>
  <c r="C432" i="2"/>
  <c r="A433" i="2"/>
  <c r="S433" i="2" s="1"/>
  <c r="Q429" i="2"/>
  <c r="O430" i="2"/>
  <c r="P430" i="2" s="1"/>
  <c r="M432" i="2" l="1"/>
  <c r="N432" i="2"/>
  <c r="U216" i="2"/>
  <c r="V216" i="2" s="1"/>
  <c r="Q430" i="2"/>
  <c r="O431" i="2"/>
  <c r="P431" i="2" s="1"/>
  <c r="T433" i="2"/>
  <c r="D433" i="2"/>
  <c r="E434" i="2" s="1"/>
  <c r="A434" i="2"/>
  <c r="L433" i="2"/>
  <c r="B433" i="2"/>
  <c r="C433" i="2"/>
  <c r="N433" i="2" l="1"/>
  <c r="M433" i="2"/>
  <c r="B434" i="2"/>
  <c r="L434" i="2"/>
  <c r="A435" i="2"/>
  <c r="S435" i="2" s="1"/>
  <c r="T434" i="2"/>
  <c r="C434" i="2"/>
  <c r="D434" i="2"/>
  <c r="E435" i="2" s="1"/>
  <c r="Q431" i="2"/>
  <c r="O432" i="2"/>
  <c r="P432" i="2" s="1"/>
  <c r="F217" i="2"/>
  <c r="W216" i="2"/>
  <c r="N434" i="2" l="1"/>
  <c r="Q432" i="2"/>
  <c r="U217" i="2"/>
  <c r="V217" i="2" s="1"/>
  <c r="M434" i="2"/>
  <c r="S434" i="2" s="1"/>
  <c r="O433" i="2"/>
  <c r="P433" i="2" s="1"/>
  <c r="T435" i="2"/>
  <c r="L435" i="2"/>
  <c r="C435" i="2"/>
  <c r="D435" i="2"/>
  <c r="E436" i="2" s="1"/>
  <c r="B435" i="2"/>
  <c r="A436" i="2"/>
  <c r="S436" i="2" s="1"/>
  <c r="N435" i="2" l="1"/>
  <c r="F218" i="2"/>
  <c r="W217" i="2"/>
  <c r="M435" i="2"/>
  <c r="L436" i="2"/>
  <c r="N436" i="2" s="1"/>
  <c r="C436" i="2"/>
  <c r="D436" i="2"/>
  <c r="E437" i="2" s="1"/>
  <c r="A437" i="2"/>
  <c r="T436" i="2"/>
  <c r="B436" i="2"/>
  <c r="Q433" i="2"/>
  <c r="O434" i="2"/>
  <c r="P434" i="2" s="1"/>
  <c r="Q434" i="2" l="1"/>
  <c r="O435" i="2"/>
  <c r="P435" i="2" s="1"/>
  <c r="M436" i="2"/>
  <c r="A438" i="2"/>
  <c r="B437" i="2"/>
  <c r="L437" i="2"/>
  <c r="N437" i="2" s="1"/>
  <c r="T437" i="2"/>
  <c r="C437" i="2"/>
  <c r="D437" i="2"/>
  <c r="E438" i="2" s="1"/>
  <c r="U218" i="2"/>
  <c r="V218" i="2" s="1"/>
  <c r="M437" i="2" l="1"/>
  <c r="S437" i="2" s="1"/>
  <c r="F219" i="2"/>
  <c r="W218" i="2"/>
  <c r="Q435" i="2"/>
  <c r="O436" i="2"/>
  <c r="P436" i="2" s="1"/>
  <c r="L438" i="2"/>
  <c r="C438" i="2"/>
  <c r="A439" i="2"/>
  <c r="B438" i="2"/>
  <c r="T438" i="2"/>
  <c r="D438" i="2"/>
  <c r="E439" i="2" s="1"/>
  <c r="M438" i="2" l="1"/>
  <c r="N438" i="2"/>
  <c r="Q436" i="2"/>
  <c r="O437" i="2"/>
  <c r="P437" i="2" s="1"/>
  <c r="U219" i="2"/>
  <c r="V219" i="2" s="1"/>
  <c r="C439" i="2"/>
  <c r="A440" i="2"/>
  <c r="T439" i="2"/>
  <c r="L439" i="2"/>
  <c r="M439" i="2" s="1"/>
  <c r="B439" i="2"/>
  <c r="D439" i="2"/>
  <c r="E440" i="2" s="1"/>
  <c r="S438" i="2" l="1"/>
  <c r="W219" i="2"/>
  <c r="F220" i="2"/>
  <c r="N439" i="2"/>
  <c r="S439" i="2" s="1"/>
  <c r="L440" i="2"/>
  <c r="M440" i="2" s="1"/>
  <c r="B440" i="2"/>
  <c r="D440" i="2"/>
  <c r="E441" i="2" s="1"/>
  <c r="C440" i="2"/>
  <c r="A441" i="2"/>
  <c r="S441" i="2" s="1"/>
  <c r="T440" i="2"/>
  <c r="Q437" i="2"/>
  <c r="O438" i="2"/>
  <c r="P438" i="2" s="1"/>
  <c r="U220" i="2" l="1"/>
  <c r="V220" i="2" s="1"/>
  <c r="N440" i="2"/>
  <c r="S440" i="2" s="1"/>
  <c r="Q438" i="2"/>
  <c r="O439" i="2"/>
  <c r="P439" i="2" s="1"/>
  <c r="D441" i="2"/>
  <c r="E442" i="2" s="1"/>
  <c r="L441" i="2"/>
  <c r="M441" i="2" s="1"/>
  <c r="C441" i="2"/>
  <c r="B441" i="2"/>
  <c r="A442" i="2"/>
  <c r="S442" i="2" s="1"/>
  <c r="T441" i="2"/>
  <c r="F221" i="2" l="1"/>
  <c r="W220" i="2"/>
  <c r="D442" i="2"/>
  <c r="E443" i="2" s="1"/>
  <c r="L442" i="2"/>
  <c r="M442" i="2" s="1"/>
  <c r="T442" i="2"/>
  <c r="B442" i="2"/>
  <c r="C442" i="2"/>
  <c r="A443" i="2"/>
  <c r="S443" i="2" s="1"/>
  <c r="Q439" i="2"/>
  <c r="O440" i="2"/>
  <c r="P440" i="2" s="1"/>
  <c r="N441" i="2"/>
  <c r="N442" i="2" l="1"/>
  <c r="Q440" i="2"/>
  <c r="O441" i="2"/>
  <c r="P441" i="2" s="1"/>
  <c r="T443" i="2"/>
  <c r="C443" i="2"/>
  <c r="A444" i="2"/>
  <c r="S444" i="2" s="1"/>
  <c r="L443" i="2"/>
  <c r="B443" i="2"/>
  <c r="D443" i="2"/>
  <c r="E444" i="2" s="1"/>
  <c r="U221" i="2"/>
  <c r="V221" i="2" s="1"/>
  <c r="N443" i="2" l="1"/>
  <c r="M443" i="2"/>
  <c r="C444" i="2"/>
  <c r="L444" i="2"/>
  <c r="B444" i="2"/>
  <c r="A445" i="2"/>
  <c r="S445" i="2" s="1"/>
  <c r="D444" i="2"/>
  <c r="E445" i="2" s="1"/>
  <c r="T444" i="2"/>
  <c r="F222" i="2"/>
  <c r="W221" i="2"/>
  <c r="Q441" i="2"/>
  <c r="O442" i="2"/>
  <c r="P442" i="2" s="1"/>
  <c r="N444" i="2" l="1"/>
  <c r="M444" i="2"/>
  <c r="Q442" i="2"/>
  <c r="O443" i="2"/>
  <c r="P443" i="2" s="1"/>
  <c r="U222" i="2"/>
  <c r="V222" i="2" s="1"/>
  <c r="L445" i="2"/>
  <c r="M445" i="2" s="1"/>
  <c r="T445" i="2"/>
  <c r="C445" i="2"/>
  <c r="D445" i="2"/>
  <c r="E446" i="2" s="1"/>
  <c r="B445" i="2"/>
  <c r="A446" i="2"/>
  <c r="N445" i="2" l="1"/>
  <c r="F223" i="2"/>
  <c r="W222" i="2"/>
  <c r="Q443" i="2"/>
  <c r="O444" i="2"/>
  <c r="P444" i="2" s="1"/>
  <c r="A447" i="2"/>
  <c r="S447" i="2" s="1"/>
  <c r="L446" i="2"/>
  <c r="D446" i="2"/>
  <c r="E447" i="2" s="1"/>
  <c r="C446" i="2"/>
  <c r="T446" i="2"/>
  <c r="B446" i="2"/>
  <c r="O445" i="2" l="1"/>
  <c r="P445" i="2" s="1"/>
  <c r="N446" i="2"/>
  <c r="B447" i="2"/>
  <c r="C447" i="2"/>
  <c r="L447" i="2"/>
  <c r="A448" i="2"/>
  <c r="S448" i="2" s="1"/>
  <c r="T447" i="2"/>
  <c r="D447" i="2"/>
  <c r="E448" i="2" s="1"/>
  <c r="Q444" i="2"/>
  <c r="M446" i="2"/>
  <c r="S446" i="2" s="1"/>
  <c r="U223" i="2"/>
  <c r="V223" i="2" s="1"/>
  <c r="Q445" i="2" l="1"/>
  <c r="N447" i="2"/>
  <c r="W223" i="2"/>
  <c r="F224" i="2"/>
  <c r="M447" i="2"/>
  <c r="O446" i="2"/>
  <c r="P446" i="2" s="1"/>
  <c r="D448" i="2"/>
  <c r="E449" i="2" s="1"/>
  <c r="B448" i="2"/>
  <c r="C448" i="2"/>
  <c r="T448" i="2"/>
  <c r="L448" i="2"/>
  <c r="A449" i="2"/>
  <c r="N448" i="2" l="1"/>
  <c r="L449" i="2"/>
  <c r="C449" i="2"/>
  <c r="A450" i="2"/>
  <c r="B449" i="2"/>
  <c r="D449" i="2"/>
  <c r="E450" i="2" s="1"/>
  <c r="T449" i="2"/>
  <c r="Q446" i="2"/>
  <c r="O447" i="2"/>
  <c r="P447" i="2" s="1"/>
  <c r="U224" i="2"/>
  <c r="V224" i="2" s="1"/>
  <c r="M448" i="2"/>
  <c r="N449" i="2" l="1"/>
  <c r="W224" i="2"/>
  <c r="F225" i="2"/>
  <c r="M449" i="2"/>
  <c r="C450" i="2"/>
  <c r="A451" i="2"/>
  <c r="L450" i="2"/>
  <c r="B450" i="2"/>
  <c r="D450" i="2"/>
  <c r="E451" i="2" s="1"/>
  <c r="T450" i="2"/>
  <c r="Q447" i="2"/>
  <c r="O448" i="2"/>
  <c r="P448" i="2" s="1"/>
  <c r="S449" i="2" l="1"/>
  <c r="N450" i="2"/>
  <c r="Q448" i="2"/>
  <c r="O449" i="2"/>
  <c r="P449" i="2" s="1"/>
  <c r="U225" i="2"/>
  <c r="V225" i="2" s="1"/>
  <c r="T451" i="2"/>
  <c r="B451" i="2"/>
  <c r="A452" i="2"/>
  <c r="D451" i="2"/>
  <c r="E452" i="2" s="1"/>
  <c r="C451" i="2"/>
  <c r="L451" i="2"/>
  <c r="M450" i="2"/>
  <c r="S450" i="2" s="1"/>
  <c r="N451" i="2" l="1"/>
  <c r="M451" i="2"/>
  <c r="Q449" i="2"/>
  <c r="O450" i="2"/>
  <c r="P450" i="2" s="1"/>
  <c r="W225" i="2"/>
  <c r="F226" i="2"/>
  <c r="L452" i="2"/>
  <c r="C452" i="2"/>
  <c r="A453" i="2"/>
  <c r="S453" i="2" s="1"/>
  <c r="T452" i="2"/>
  <c r="D452" i="2"/>
  <c r="E453" i="2" s="1"/>
  <c r="B452" i="2"/>
  <c r="S451" i="2" l="1"/>
  <c r="N452" i="2"/>
  <c r="M452" i="2"/>
  <c r="S452" i="2" s="1"/>
  <c r="U226" i="2"/>
  <c r="V226" i="2" s="1"/>
  <c r="C453" i="2"/>
  <c r="D453" i="2"/>
  <c r="E454" i="2" s="1"/>
  <c r="T453" i="2"/>
  <c r="B453" i="2"/>
  <c r="L453" i="2"/>
  <c r="A454" i="2"/>
  <c r="S454" i="2" s="1"/>
  <c r="Q450" i="2"/>
  <c r="O451" i="2"/>
  <c r="P451" i="2" s="1"/>
  <c r="M453" i="2" l="1"/>
  <c r="F227" i="2"/>
  <c r="W226" i="2"/>
  <c r="D454" i="2"/>
  <c r="E455" i="2" s="1"/>
  <c r="B454" i="2"/>
  <c r="A455" i="2"/>
  <c r="S455" i="2" s="1"/>
  <c r="L454" i="2"/>
  <c r="T454" i="2"/>
  <c r="C454" i="2"/>
  <c r="N453" i="2"/>
  <c r="Q451" i="2"/>
  <c r="O452" i="2"/>
  <c r="P452" i="2" s="1"/>
  <c r="M454" i="2" l="1"/>
  <c r="N454" i="2"/>
  <c r="Q452" i="2"/>
  <c r="O453" i="2"/>
  <c r="P453" i="2" s="1"/>
  <c r="D455" i="2"/>
  <c r="E456" i="2" s="1"/>
  <c r="L455" i="2"/>
  <c r="B455" i="2"/>
  <c r="T455" i="2"/>
  <c r="A456" i="2"/>
  <c r="S456" i="2" s="1"/>
  <c r="C455" i="2"/>
  <c r="U227" i="2"/>
  <c r="V227" i="2" s="1"/>
  <c r="M455" i="2" l="1"/>
  <c r="F228" i="2"/>
  <c r="W227" i="2"/>
  <c r="N455" i="2"/>
  <c r="L456" i="2"/>
  <c r="T456" i="2"/>
  <c r="A457" i="2"/>
  <c r="S457" i="2" s="1"/>
  <c r="C456" i="2"/>
  <c r="B456" i="2"/>
  <c r="D456" i="2"/>
  <c r="E457" i="2" s="1"/>
  <c r="Q453" i="2"/>
  <c r="O454" i="2"/>
  <c r="P454" i="2" s="1"/>
  <c r="M456" i="2" l="1"/>
  <c r="D457" i="2"/>
  <c r="E458" i="2" s="1"/>
  <c r="L457" i="2"/>
  <c r="T457" i="2"/>
  <c r="C457" i="2"/>
  <c r="B457" i="2"/>
  <c r="A458" i="2"/>
  <c r="N456" i="2"/>
  <c r="Q454" i="2"/>
  <c r="O455" i="2"/>
  <c r="P455" i="2" s="1"/>
  <c r="U228" i="2"/>
  <c r="V228" i="2" s="1"/>
  <c r="M457" i="2" l="1"/>
  <c r="N457" i="2"/>
  <c r="W228" i="2"/>
  <c r="F229" i="2"/>
  <c r="B458" i="2"/>
  <c r="A459" i="2"/>
  <c r="S459" i="2" s="1"/>
  <c r="T458" i="2"/>
  <c r="D458" i="2"/>
  <c r="E459" i="2" s="1"/>
  <c r="C458" i="2"/>
  <c r="L458" i="2"/>
  <c r="Q455" i="2"/>
  <c r="O456" i="2"/>
  <c r="P456" i="2" s="1"/>
  <c r="M458" i="2" l="1"/>
  <c r="O457" i="2"/>
  <c r="P457" i="2" s="1"/>
  <c r="Q456" i="2"/>
  <c r="N458" i="2"/>
  <c r="S458" i="2" s="1"/>
  <c r="D459" i="2"/>
  <c r="E460" i="2" s="1"/>
  <c r="L459" i="2"/>
  <c r="M459" i="2" s="1"/>
  <c r="T459" i="2"/>
  <c r="A460" i="2"/>
  <c r="S460" i="2" s="1"/>
  <c r="C459" i="2"/>
  <c r="B459" i="2"/>
  <c r="U229" i="2"/>
  <c r="V229" i="2" s="1"/>
  <c r="Q457" i="2" l="1"/>
  <c r="N459" i="2"/>
  <c r="F230" i="2"/>
  <c r="W229" i="2"/>
  <c r="L460" i="2"/>
  <c r="M460" i="2" s="1"/>
  <c r="A461" i="2"/>
  <c r="C460" i="2"/>
  <c r="B460" i="2"/>
  <c r="D460" i="2"/>
  <c r="E461" i="2" s="1"/>
  <c r="T460" i="2"/>
  <c r="O458" i="2"/>
  <c r="P458" i="2" s="1"/>
  <c r="N460" i="2" l="1"/>
  <c r="Q458" i="2"/>
  <c r="O459" i="2"/>
  <c r="P459" i="2" s="1"/>
  <c r="T461" i="2"/>
  <c r="D461" i="2"/>
  <c r="E462" i="2" s="1"/>
  <c r="C461" i="2"/>
  <c r="B461" i="2"/>
  <c r="L461" i="2"/>
  <c r="M461" i="2" s="1"/>
  <c r="A462" i="2"/>
  <c r="U230" i="2"/>
  <c r="V230" i="2" s="1"/>
  <c r="N461" i="2" l="1"/>
  <c r="S461" i="2" s="1"/>
  <c r="F231" i="2"/>
  <c r="W230" i="2"/>
  <c r="T462" i="2"/>
  <c r="D462" i="2"/>
  <c r="E463" i="2" s="1"/>
  <c r="C462" i="2"/>
  <c r="A463" i="2"/>
  <c r="B462" i="2"/>
  <c r="L462" i="2"/>
  <c r="M462" i="2" s="1"/>
  <c r="Q459" i="2"/>
  <c r="O460" i="2"/>
  <c r="P460" i="2" s="1"/>
  <c r="U231" i="2" l="1"/>
  <c r="V231" i="2" s="1"/>
  <c r="N462" i="2"/>
  <c r="S462" i="2" s="1"/>
  <c r="Q460" i="2"/>
  <c r="O461" i="2"/>
  <c r="P461" i="2" s="1"/>
  <c r="C463" i="2"/>
  <c r="A464" i="2"/>
  <c r="B463" i="2"/>
  <c r="L463" i="2"/>
  <c r="M463" i="2" s="1"/>
  <c r="T463" i="2"/>
  <c r="D463" i="2"/>
  <c r="E464" i="2" s="1"/>
  <c r="W231" i="2" l="1"/>
  <c r="F232" i="2"/>
  <c r="Q461" i="2"/>
  <c r="O462" i="2"/>
  <c r="P462" i="2" s="1"/>
  <c r="D464" i="2"/>
  <c r="E465" i="2" s="1"/>
  <c r="C464" i="2"/>
  <c r="B464" i="2"/>
  <c r="A465" i="2"/>
  <c r="S465" i="2" s="1"/>
  <c r="T464" i="2"/>
  <c r="L464" i="2"/>
  <c r="M464" i="2" s="1"/>
  <c r="N463" i="2"/>
  <c r="S463" i="2" s="1"/>
  <c r="N464" i="2" l="1"/>
  <c r="S464" i="2" s="1"/>
  <c r="T465" i="2"/>
  <c r="A466" i="2"/>
  <c r="S466" i="2" s="1"/>
  <c r="D465" i="2"/>
  <c r="E466" i="2" s="1"/>
  <c r="B465" i="2"/>
  <c r="C465" i="2"/>
  <c r="L465" i="2"/>
  <c r="M465" i="2" s="1"/>
  <c r="U232" i="2"/>
  <c r="V232" i="2" s="1"/>
  <c r="Q462" i="2"/>
  <c r="O463" i="2"/>
  <c r="P463" i="2" s="1"/>
  <c r="N465" i="2" l="1"/>
  <c r="F233" i="2"/>
  <c r="W232" i="2"/>
  <c r="B466" i="2"/>
  <c r="D466" i="2"/>
  <c r="E467" i="2" s="1"/>
  <c r="C466" i="2"/>
  <c r="L466" i="2"/>
  <c r="T466" i="2"/>
  <c r="A467" i="2"/>
  <c r="S467" i="2" s="1"/>
  <c r="Q463" i="2"/>
  <c r="O464" i="2"/>
  <c r="P464" i="2" s="1"/>
  <c r="N466" i="2" l="1"/>
  <c r="M466" i="2"/>
  <c r="A468" i="2"/>
  <c r="S468" i="2" s="1"/>
  <c r="L467" i="2"/>
  <c r="T467" i="2"/>
  <c r="C467" i="2"/>
  <c r="D467" i="2"/>
  <c r="E468" i="2" s="1"/>
  <c r="B467" i="2"/>
  <c r="Q464" i="2"/>
  <c r="O465" i="2"/>
  <c r="P465" i="2" s="1"/>
  <c r="U233" i="2"/>
  <c r="V233" i="2" s="1"/>
  <c r="N467" i="2" l="1"/>
  <c r="M467" i="2"/>
  <c r="W233" i="2"/>
  <c r="F234" i="2"/>
  <c r="C468" i="2"/>
  <c r="D468" i="2"/>
  <c r="E469" i="2" s="1"/>
  <c r="T468" i="2"/>
  <c r="A469" i="2"/>
  <c r="S469" i="2" s="1"/>
  <c r="L468" i="2"/>
  <c r="N468" i="2" s="1"/>
  <c r="B468" i="2"/>
  <c r="Q465" i="2"/>
  <c r="O466" i="2"/>
  <c r="P466" i="2" s="1"/>
  <c r="M468" i="2" l="1"/>
  <c r="Q466" i="2"/>
  <c r="O467" i="2"/>
  <c r="P467" i="2" s="1"/>
  <c r="C469" i="2"/>
  <c r="A470" i="2"/>
  <c r="L469" i="2"/>
  <c r="N469" i="2" s="1"/>
  <c r="B469" i="2"/>
  <c r="D469" i="2"/>
  <c r="E470" i="2" s="1"/>
  <c r="T469" i="2"/>
  <c r="U234" i="2"/>
  <c r="V234" i="2" s="1"/>
  <c r="M469" i="2" l="1"/>
  <c r="F235" i="2"/>
  <c r="W234" i="2"/>
  <c r="C470" i="2"/>
  <c r="L470" i="2"/>
  <c r="N470" i="2" s="1"/>
  <c r="A471" i="2"/>
  <c r="S471" i="2" s="1"/>
  <c r="T470" i="2"/>
  <c r="D470" i="2"/>
  <c r="E471" i="2" s="1"/>
  <c r="B470" i="2"/>
  <c r="Q467" i="2"/>
  <c r="O468" i="2"/>
  <c r="P468" i="2" s="1"/>
  <c r="O469" i="2" l="1"/>
  <c r="P469" i="2" s="1"/>
  <c r="Q468" i="2"/>
  <c r="U235" i="2"/>
  <c r="V235" i="2" s="1"/>
  <c r="A472" i="2"/>
  <c r="S472" i="2" s="1"/>
  <c r="L471" i="2"/>
  <c r="N471" i="2" s="1"/>
  <c r="B471" i="2"/>
  <c r="C471" i="2"/>
  <c r="T471" i="2"/>
  <c r="D471" i="2"/>
  <c r="E472" i="2" s="1"/>
  <c r="M470" i="2"/>
  <c r="S470" i="2" s="1"/>
  <c r="Q469" i="2" l="1"/>
  <c r="M471" i="2"/>
  <c r="D472" i="2"/>
  <c r="E473" i="2" s="1"/>
  <c r="L472" i="2"/>
  <c r="N472" i="2" s="1"/>
  <c r="T472" i="2"/>
  <c r="B472" i="2"/>
  <c r="C472" i="2"/>
  <c r="A473" i="2"/>
  <c r="O470" i="2"/>
  <c r="P470" i="2" s="1"/>
  <c r="W235" i="2"/>
  <c r="F236" i="2"/>
  <c r="M472" i="2" l="1"/>
  <c r="U236" i="2"/>
  <c r="V236" i="2" s="1"/>
  <c r="L473" i="2"/>
  <c r="N473" i="2" s="1"/>
  <c r="B473" i="2"/>
  <c r="A474" i="2"/>
  <c r="C473" i="2"/>
  <c r="T473" i="2"/>
  <c r="D473" i="2"/>
  <c r="E474" i="2" s="1"/>
  <c r="Q470" i="2"/>
  <c r="O471" i="2"/>
  <c r="P471" i="2" s="1"/>
  <c r="M473" i="2" l="1"/>
  <c r="S473" i="2" s="1"/>
  <c r="W236" i="2"/>
  <c r="F237" i="2"/>
  <c r="Q471" i="2"/>
  <c r="O472" i="2"/>
  <c r="P472" i="2" s="1"/>
  <c r="A475" i="2"/>
  <c r="C474" i="2"/>
  <c r="B474" i="2"/>
  <c r="L474" i="2"/>
  <c r="N474" i="2" s="1"/>
  <c r="D474" i="2"/>
  <c r="E475" i="2" s="1"/>
  <c r="T474" i="2"/>
  <c r="A476" i="2" l="1"/>
  <c r="T475" i="2"/>
  <c r="C475" i="2"/>
  <c r="L475" i="2"/>
  <c r="N475" i="2" s="1"/>
  <c r="D475" i="2"/>
  <c r="E476" i="2" s="1"/>
  <c r="B475" i="2"/>
  <c r="U237" i="2"/>
  <c r="V237" i="2" s="1"/>
  <c r="M474" i="2"/>
  <c r="S474" i="2" s="1"/>
  <c r="Q472" i="2"/>
  <c r="O473" i="2"/>
  <c r="P473" i="2" s="1"/>
  <c r="W237" i="2" l="1"/>
  <c r="F238" i="2"/>
  <c r="M475" i="2"/>
  <c r="S475" i="2" s="1"/>
  <c r="Q473" i="2"/>
  <c r="O474" i="2"/>
  <c r="P474" i="2" s="1"/>
  <c r="C476" i="2"/>
  <c r="L476" i="2"/>
  <c r="N476" i="2" s="1"/>
  <c r="B476" i="2"/>
  <c r="D476" i="2"/>
  <c r="E477" i="2" s="1"/>
  <c r="T476" i="2"/>
  <c r="A477" i="2"/>
  <c r="S477" i="2" s="1"/>
  <c r="M476" i="2" l="1"/>
  <c r="S476" i="2" s="1"/>
  <c r="D477" i="2"/>
  <c r="E478" i="2" s="1"/>
  <c r="L477" i="2"/>
  <c r="N477" i="2" s="1"/>
  <c r="C477" i="2"/>
  <c r="B477" i="2"/>
  <c r="A478" i="2"/>
  <c r="S478" i="2" s="1"/>
  <c r="T477" i="2"/>
  <c r="Q474" i="2"/>
  <c r="O475" i="2"/>
  <c r="P475" i="2" s="1"/>
  <c r="U238" i="2"/>
  <c r="V238" i="2" s="1"/>
  <c r="M477" i="2" l="1"/>
  <c r="B478" i="2"/>
  <c r="C478" i="2"/>
  <c r="L478" i="2"/>
  <c r="N478" i="2" s="1"/>
  <c r="T478" i="2"/>
  <c r="A479" i="2"/>
  <c r="S479" i="2" s="1"/>
  <c r="D478" i="2"/>
  <c r="E479" i="2" s="1"/>
  <c r="Q475" i="2"/>
  <c r="O476" i="2"/>
  <c r="P476" i="2" s="1"/>
  <c r="W238" i="2"/>
  <c r="F239" i="2"/>
  <c r="M478" i="2" l="1"/>
  <c r="B479" i="2"/>
  <c r="D479" i="2"/>
  <c r="E480" i="2" s="1"/>
  <c r="C479" i="2"/>
  <c r="A480" i="2"/>
  <c r="S480" i="2" s="1"/>
  <c r="L479" i="2"/>
  <c r="N479" i="2" s="1"/>
  <c r="T479" i="2"/>
  <c r="U239" i="2"/>
  <c r="V239" i="2" s="1"/>
  <c r="Q476" i="2"/>
  <c r="O477" i="2"/>
  <c r="P477" i="2" s="1"/>
  <c r="F240" i="2" l="1"/>
  <c r="W239" i="2"/>
  <c r="Q477" i="2"/>
  <c r="O478" i="2"/>
  <c r="P478" i="2" s="1"/>
  <c r="M479" i="2"/>
  <c r="D480" i="2"/>
  <c r="E481" i="2" s="1"/>
  <c r="B480" i="2"/>
  <c r="C480" i="2"/>
  <c r="A481" i="2"/>
  <c r="S481" i="2" s="1"/>
  <c r="T480" i="2"/>
  <c r="L480" i="2"/>
  <c r="N480" i="2" s="1"/>
  <c r="M480" i="2" l="1"/>
  <c r="D481" i="2"/>
  <c r="E482" i="2" s="1"/>
  <c r="T481" i="2"/>
  <c r="L481" i="2"/>
  <c r="N481" i="2" s="1"/>
  <c r="C481" i="2"/>
  <c r="B481" i="2"/>
  <c r="A482" i="2"/>
  <c r="U240" i="2"/>
  <c r="V240" i="2" s="1"/>
  <c r="Q478" i="2"/>
  <c r="O479" i="2"/>
  <c r="P479" i="2" s="1"/>
  <c r="M481" i="2" l="1"/>
  <c r="F241" i="2"/>
  <c r="W240" i="2"/>
  <c r="Q479" i="2"/>
  <c r="O480" i="2"/>
  <c r="P480" i="2" s="1"/>
  <c r="A483" i="2"/>
  <c r="S483" i="2" s="1"/>
  <c r="B482" i="2"/>
  <c r="L482" i="2"/>
  <c r="N482" i="2" s="1"/>
  <c r="D482" i="2"/>
  <c r="E483" i="2" s="1"/>
  <c r="T482" i="2"/>
  <c r="C482" i="2"/>
  <c r="O481" i="2" l="1"/>
  <c r="P481" i="2" s="1"/>
  <c r="Q480" i="2"/>
  <c r="M482" i="2"/>
  <c r="S482" i="2" s="1"/>
  <c r="B483" i="2"/>
  <c r="L483" i="2"/>
  <c r="C483" i="2"/>
  <c r="T483" i="2"/>
  <c r="A484" i="2"/>
  <c r="S484" i="2" s="1"/>
  <c r="D483" i="2"/>
  <c r="E484" i="2" s="1"/>
  <c r="U241" i="2"/>
  <c r="V241" i="2" s="1"/>
  <c r="O482" i="2" l="1"/>
  <c r="Q481" i="2"/>
  <c r="M483" i="2"/>
  <c r="F242" i="2"/>
  <c r="W241" i="2"/>
  <c r="N483" i="2"/>
  <c r="C484" i="2"/>
  <c r="T484" i="2"/>
  <c r="L484" i="2"/>
  <c r="B484" i="2"/>
  <c r="A485" i="2"/>
  <c r="D484" i="2"/>
  <c r="E485" i="2" s="1"/>
  <c r="P482" i="2" l="1"/>
  <c r="Q482" i="2" s="1"/>
  <c r="M484" i="2"/>
  <c r="U242" i="2"/>
  <c r="V242" i="2" s="1"/>
  <c r="N484" i="2"/>
  <c r="T485" i="2"/>
  <c r="D485" i="2"/>
  <c r="E486" i="2" s="1"/>
  <c r="B485" i="2"/>
  <c r="L485" i="2"/>
  <c r="C485" i="2"/>
  <c r="A486" i="2"/>
  <c r="O483" i="2"/>
  <c r="P483" i="2" s="1"/>
  <c r="M485" i="2" l="1"/>
  <c r="W242" i="2"/>
  <c r="F243" i="2"/>
  <c r="N485" i="2"/>
  <c r="D486" i="2"/>
  <c r="E487" i="2" s="1"/>
  <c r="C486" i="2"/>
  <c r="L486" i="2"/>
  <c r="B486" i="2"/>
  <c r="T486" i="2"/>
  <c r="A487" i="2"/>
  <c r="Q483" i="2"/>
  <c r="O484" i="2"/>
  <c r="P484" i="2" s="1"/>
  <c r="S485" i="2" l="1"/>
  <c r="M486" i="2"/>
  <c r="N486" i="2"/>
  <c r="Q484" i="2"/>
  <c r="O485" i="2"/>
  <c r="P485" i="2" s="1"/>
  <c r="A488" i="2"/>
  <c r="L487" i="2"/>
  <c r="T487" i="2"/>
  <c r="B487" i="2"/>
  <c r="D487" i="2"/>
  <c r="E488" i="2" s="1"/>
  <c r="C487" i="2"/>
  <c r="U243" i="2"/>
  <c r="V243" i="2" s="1"/>
  <c r="N487" i="2" l="1"/>
  <c r="S486" i="2"/>
  <c r="W243" i="2"/>
  <c r="F244" i="2"/>
  <c r="C488" i="2"/>
  <c r="A489" i="2"/>
  <c r="S489" i="2" s="1"/>
  <c r="L488" i="2"/>
  <c r="N488" i="2" s="1"/>
  <c r="B488" i="2"/>
  <c r="T488" i="2"/>
  <c r="D488" i="2"/>
  <c r="E489" i="2" s="1"/>
  <c r="M487" i="2"/>
  <c r="S487" i="2" s="1"/>
  <c r="Q485" i="2"/>
  <c r="O486" i="2"/>
  <c r="P486" i="2" s="1"/>
  <c r="M488" i="2" l="1"/>
  <c r="S488" i="2" s="1"/>
  <c r="Q486" i="2"/>
  <c r="O487" i="2"/>
  <c r="P487" i="2" s="1"/>
  <c r="A490" i="2"/>
  <c r="S490" i="2" s="1"/>
  <c r="L489" i="2"/>
  <c r="N489" i="2" s="1"/>
  <c r="C489" i="2"/>
  <c r="B489" i="2"/>
  <c r="T489" i="2"/>
  <c r="D489" i="2"/>
  <c r="E490" i="2" s="1"/>
  <c r="U244" i="2"/>
  <c r="V244" i="2" s="1"/>
  <c r="M489" i="2" l="1"/>
  <c r="W244" i="2"/>
  <c r="F245" i="2"/>
  <c r="D490" i="2"/>
  <c r="E491" i="2" s="1"/>
  <c r="C490" i="2"/>
  <c r="B490" i="2"/>
  <c r="T490" i="2"/>
  <c r="A491" i="2"/>
  <c r="S491" i="2" s="1"/>
  <c r="L490" i="2"/>
  <c r="Q487" i="2"/>
  <c r="O488" i="2"/>
  <c r="P488" i="2" s="1"/>
  <c r="M490" i="2" l="1"/>
  <c r="U245" i="2"/>
  <c r="V245" i="2" s="1"/>
  <c r="N490" i="2"/>
  <c r="D491" i="2"/>
  <c r="E492" i="2" s="1"/>
  <c r="T491" i="2"/>
  <c r="B491" i="2"/>
  <c r="A492" i="2"/>
  <c r="S492" i="2" s="1"/>
  <c r="L491" i="2"/>
  <c r="C491" i="2"/>
  <c r="Q488" i="2"/>
  <c r="O489" i="2"/>
  <c r="P489" i="2" s="1"/>
  <c r="M491" i="2" l="1"/>
  <c r="F246" i="2"/>
  <c r="W245" i="2"/>
  <c r="N491" i="2"/>
  <c r="Q489" i="2"/>
  <c r="O490" i="2"/>
  <c r="P490" i="2" s="1"/>
  <c r="B492" i="2"/>
  <c r="D492" i="2"/>
  <c r="E493" i="2" s="1"/>
  <c r="T492" i="2"/>
  <c r="L492" i="2"/>
  <c r="C492" i="2"/>
  <c r="A493" i="2"/>
  <c r="S493" i="2" s="1"/>
  <c r="M492" i="2" l="1"/>
  <c r="Q490" i="2"/>
  <c r="O491" i="2"/>
  <c r="P491" i="2" s="1"/>
  <c r="U246" i="2"/>
  <c r="V246" i="2" s="1"/>
  <c r="T493" i="2"/>
  <c r="A494" i="2"/>
  <c r="D493" i="2"/>
  <c r="E494" i="2" s="1"/>
  <c r="B493" i="2"/>
  <c r="C493" i="2"/>
  <c r="L493" i="2"/>
  <c r="N492" i="2"/>
  <c r="M493" i="2" l="1"/>
  <c r="W246" i="2"/>
  <c r="F247" i="2"/>
  <c r="N493" i="2"/>
  <c r="T494" i="2"/>
  <c r="L494" i="2"/>
  <c r="A495" i="2"/>
  <c r="S495" i="2" s="1"/>
  <c r="C494" i="2"/>
  <c r="B494" i="2"/>
  <c r="D494" i="2"/>
  <c r="E495" i="2" s="1"/>
  <c r="Q491" i="2"/>
  <c r="O492" i="2"/>
  <c r="P492" i="2" s="1"/>
  <c r="O493" i="2" l="1"/>
  <c r="P493" i="2" s="1"/>
  <c r="M494" i="2"/>
  <c r="Q492" i="2"/>
  <c r="N494" i="2"/>
  <c r="T495" i="2"/>
  <c r="A496" i="2"/>
  <c r="S496" i="2" s="1"/>
  <c r="L495" i="2"/>
  <c r="D495" i="2"/>
  <c r="E496" i="2" s="1"/>
  <c r="C495" i="2"/>
  <c r="B495" i="2"/>
  <c r="U247" i="2"/>
  <c r="V247" i="2" s="1"/>
  <c r="S494" i="2" l="1"/>
  <c r="Q493" i="2"/>
  <c r="M495" i="2"/>
  <c r="O494" i="2"/>
  <c r="P494" i="2" s="1"/>
  <c r="N495" i="2"/>
  <c r="F248" i="2"/>
  <c r="W247" i="2"/>
  <c r="L496" i="2"/>
  <c r="T496" i="2"/>
  <c r="D496" i="2"/>
  <c r="E497" i="2" s="1"/>
  <c r="C496" i="2"/>
  <c r="B496" i="2"/>
  <c r="A497" i="2"/>
  <c r="Q494" i="2" l="1"/>
  <c r="M496" i="2"/>
  <c r="O495" i="2"/>
  <c r="P495" i="2" s="1"/>
  <c r="U248" i="2"/>
  <c r="V248" i="2" s="1"/>
  <c r="T497" i="2"/>
  <c r="C497" i="2"/>
  <c r="B497" i="2"/>
  <c r="L497" i="2"/>
  <c r="A498" i="2"/>
  <c r="D497" i="2"/>
  <c r="E498" i="2" s="1"/>
  <c r="N496" i="2"/>
  <c r="Q495" i="2" l="1"/>
  <c r="M497" i="2"/>
  <c r="N497" i="2"/>
  <c r="O496" i="2"/>
  <c r="P496" i="2" s="1"/>
  <c r="D498" i="2"/>
  <c r="E499" i="2" s="1"/>
  <c r="A499" i="2"/>
  <c r="C498" i="2"/>
  <c r="B498" i="2"/>
  <c r="T498" i="2"/>
  <c r="L498" i="2"/>
  <c r="M498" i="2" s="1"/>
  <c r="F249" i="2"/>
  <c r="W248" i="2"/>
  <c r="S497" i="2" l="1"/>
  <c r="N498" i="2"/>
  <c r="S498" i="2" s="1"/>
  <c r="U249" i="2"/>
  <c r="V249" i="2" s="1"/>
  <c r="L499" i="2"/>
  <c r="M499" i="2" s="1"/>
  <c r="D499" i="2"/>
  <c r="E500" i="2" s="1"/>
  <c r="A500" i="2"/>
  <c r="C499" i="2"/>
  <c r="B499" i="2"/>
  <c r="T499" i="2"/>
  <c r="Q496" i="2"/>
  <c r="O497" i="2"/>
  <c r="P497" i="2" s="1"/>
  <c r="N499" i="2" l="1"/>
  <c r="S499" i="2" s="1"/>
  <c r="Q497" i="2"/>
  <c r="O498" i="2"/>
  <c r="P498" i="2" s="1"/>
  <c r="T500" i="2"/>
  <c r="C500" i="2"/>
  <c r="B500" i="2"/>
  <c r="L500" i="2"/>
  <c r="M500" i="2" s="1"/>
  <c r="A501" i="2"/>
  <c r="S501" i="2" s="1"/>
  <c r="D500" i="2"/>
  <c r="E501" i="2" s="1"/>
  <c r="F250" i="2"/>
  <c r="W249" i="2"/>
  <c r="N500" i="2" l="1"/>
  <c r="S500" i="2" s="1"/>
  <c r="Q498" i="2"/>
  <c r="O499" i="2"/>
  <c r="P499" i="2" s="1"/>
  <c r="U250" i="2"/>
  <c r="V250" i="2" s="1"/>
  <c r="A502" i="2"/>
  <c r="S502" i="2" s="1"/>
  <c r="B501" i="2"/>
  <c r="T501" i="2"/>
  <c r="L501" i="2"/>
  <c r="C501" i="2"/>
  <c r="D501" i="2"/>
  <c r="E502" i="2" s="1"/>
  <c r="N501" i="2" l="1"/>
  <c r="M501" i="2"/>
  <c r="C502" i="2"/>
  <c r="L502" i="2"/>
  <c r="A503" i="2"/>
  <c r="S503" i="2" s="1"/>
  <c r="T502" i="2"/>
  <c r="B502" i="2"/>
  <c r="D502" i="2"/>
  <c r="E503" i="2" s="1"/>
  <c r="F251" i="2"/>
  <c r="W250" i="2"/>
  <c r="Q499" i="2"/>
  <c r="O500" i="2"/>
  <c r="P500" i="2" s="1"/>
  <c r="N502" i="2" l="1"/>
  <c r="M502" i="2"/>
  <c r="U251" i="2"/>
  <c r="V251" i="2" s="1"/>
  <c r="Q500" i="2"/>
  <c r="O501" i="2"/>
  <c r="P501" i="2" s="1"/>
  <c r="B503" i="2"/>
  <c r="A504" i="2"/>
  <c r="S504" i="2" s="1"/>
  <c r="L503" i="2"/>
  <c r="C503" i="2"/>
  <c r="T503" i="2"/>
  <c r="D503" i="2"/>
  <c r="E504" i="2" s="1"/>
  <c r="N503" i="2" l="1"/>
  <c r="M503" i="2"/>
  <c r="F252" i="2"/>
  <c r="W251" i="2"/>
  <c r="Q501" i="2"/>
  <c r="O502" i="2"/>
  <c r="P502" i="2" s="1"/>
  <c r="T504" i="2"/>
  <c r="C504" i="2"/>
  <c r="L504" i="2"/>
  <c r="B504" i="2"/>
  <c r="A505" i="2"/>
  <c r="S505" i="2" s="1"/>
  <c r="D504" i="2"/>
  <c r="E505" i="2" s="1"/>
  <c r="M504" i="2" l="1"/>
  <c r="Q502" i="2"/>
  <c r="O503" i="2"/>
  <c r="P503" i="2" s="1"/>
  <c r="U252" i="2"/>
  <c r="V252" i="2" s="1"/>
  <c r="D505" i="2"/>
  <c r="E506" i="2" s="1"/>
  <c r="C505" i="2"/>
  <c r="T505" i="2"/>
  <c r="A506" i="2"/>
  <c r="L505" i="2"/>
  <c r="B505" i="2"/>
  <c r="N504" i="2"/>
  <c r="M505" i="2" l="1"/>
  <c r="N505" i="2"/>
  <c r="F253" i="2"/>
  <c r="W252" i="2"/>
  <c r="Q503" i="2"/>
  <c r="O504" i="2"/>
  <c r="P504" i="2" s="1"/>
  <c r="L506" i="2"/>
  <c r="T506" i="2"/>
  <c r="B506" i="2"/>
  <c r="C506" i="2"/>
  <c r="D506" i="2"/>
  <c r="E507" i="2" s="1"/>
  <c r="A507" i="2"/>
  <c r="S507" i="2" s="1"/>
  <c r="M506" i="2" l="1"/>
  <c r="O505" i="2"/>
  <c r="P505" i="2" s="1"/>
  <c r="Q504" i="2"/>
  <c r="N506" i="2"/>
  <c r="U253" i="2"/>
  <c r="V253" i="2" s="1"/>
  <c r="L507" i="2"/>
  <c r="T507" i="2"/>
  <c r="D507" i="2"/>
  <c r="E508" i="2" s="1"/>
  <c r="A508" i="2"/>
  <c r="S508" i="2" s="1"/>
  <c r="B507" i="2"/>
  <c r="C507" i="2"/>
  <c r="S506" i="2" l="1"/>
  <c r="Q505" i="2"/>
  <c r="M507" i="2"/>
  <c r="N507" i="2"/>
  <c r="O506" i="2"/>
  <c r="P506" i="2" s="1"/>
  <c r="F254" i="2"/>
  <c r="W253" i="2"/>
  <c r="C508" i="2"/>
  <c r="D508" i="2"/>
  <c r="E509" i="2" s="1"/>
  <c r="A509" i="2"/>
  <c r="T508" i="2"/>
  <c r="B508" i="2"/>
  <c r="L508" i="2"/>
  <c r="Q506" i="2" l="1"/>
  <c r="M508" i="2"/>
  <c r="N508" i="2"/>
  <c r="O507" i="2"/>
  <c r="P507" i="2" s="1"/>
  <c r="U254" i="2"/>
  <c r="V254" i="2" s="1"/>
  <c r="L509" i="2"/>
  <c r="M509" i="2" s="1"/>
  <c r="A510" i="2"/>
  <c r="D509" i="2"/>
  <c r="E510" i="2" s="1"/>
  <c r="B509" i="2"/>
  <c r="T509" i="2"/>
  <c r="C509" i="2"/>
  <c r="Q507" i="2" l="1"/>
  <c r="O508" i="2"/>
  <c r="P508" i="2" s="1"/>
  <c r="L510" i="2"/>
  <c r="M510" i="2" s="1"/>
  <c r="D510" i="2"/>
  <c r="E511" i="2" s="1"/>
  <c r="T510" i="2"/>
  <c r="A511" i="2"/>
  <c r="B510" i="2"/>
  <c r="C510" i="2"/>
  <c r="W254" i="2"/>
  <c r="F255" i="2"/>
  <c r="N509" i="2"/>
  <c r="S509" i="2" s="1"/>
  <c r="Q508" i="2" l="1"/>
  <c r="N510" i="2"/>
  <c r="S510" i="2" s="1"/>
  <c r="D511" i="2"/>
  <c r="E512" i="2" s="1"/>
  <c r="C511" i="2"/>
  <c r="L511" i="2"/>
  <c r="M511" i="2" s="1"/>
  <c r="T511" i="2"/>
  <c r="A512" i="2"/>
  <c r="B511" i="2"/>
  <c r="O509" i="2"/>
  <c r="P509" i="2" s="1"/>
  <c r="U255" i="2"/>
  <c r="V255" i="2" s="1"/>
  <c r="N511" i="2" l="1"/>
  <c r="S511" i="2" s="1"/>
  <c r="W255" i="2"/>
  <c r="F256" i="2"/>
  <c r="Q509" i="2"/>
  <c r="O510" i="2"/>
  <c r="P510" i="2" s="1"/>
  <c r="D512" i="2"/>
  <c r="E513" i="2" s="1"/>
  <c r="T512" i="2"/>
  <c r="C512" i="2"/>
  <c r="L512" i="2"/>
  <c r="A513" i="2"/>
  <c r="S513" i="2" s="1"/>
  <c r="B512" i="2"/>
  <c r="N512" i="2" l="1"/>
  <c r="M512" i="2"/>
  <c r="L513" i="2"/>
  <c r="A514" i="2"/>
  <c r="S514" i="2" s="1"/>
  <c r="B513" i="2"/>
  <c r="T513" i="2"/>
  <c r="C513" i="2"/>
  <c r="D513" i="2"/>
  <c r="E514" i="2" s="1"/>
  <c r="Q510" i="2"/>
  <c r="O511" i="2"/>
  <c r="P511" i="2" s="1"/>
  <c r="U256" i="2"/>
  <c r="V256" i="2" s="1"/>
  <c r="S512" i="2" l="1"/>
  <c r="N513" i="2"/>
  <c r="M513" i="2"/>
  <c r="W256" i="2"/>
  <c r="F257" i="2"/>
  <c r="Q511" i="2"/>
  <c r="O512" i="2"/>
  <c r="P512" i="2" s="1"/>
  <c r="C514" i="2"/>
  <c r="L514" i="2"/>
  <c r="D514" i="2"/>
  <c r="E515" i="2" s="1"/>
  <c r="B514" i="2"/>
  <c r="T514" i="2"/>
  <c r="A515" i="2"/>
  <c r="S515" i="2" s="1"/>
  <c r="N514" i="2" l="1"/>
  <c r="M514" i="2"/>
  <c r="D515" i="2"/>
  <c r="E516" i="2" s="1"/>
  <c r="B515" i="2"/>
  <c r="L515" i="2"/>
  <c r="N515" i="2" s="1"/>
  <c r="C515" i="2"/>
  <c r="T515" i="2"/>
  <c r="A516" i="2"/>
  <c r="S516" i="2" s="1"/>
  <c r="U257" i="2"/>
  <c r="V257" i="2" s="1"/>
  <c r="Q512" i="2"/>
  <c r="O513" i="2"/>
  <c r="P513" i="2" s="1"/>
  <c r="M515" i="2" l="1"/>
  <c r="D516" i="2"/>
  <c r="E517" i="2" s="1"/>
  <c r="B516" i="2"/>
  <c r="C516" i="2"/>
  <c r="A517" i="2"/>
  <c r="S517" i="2" s="1"/>
  <c r="L516" i="2"/>
  <c r="T516" i="2"/>
  <c r="Q513" i="2"/>
  <c r="O514" i="2"/>
  <c r="P514" i="2" s="1"/>
  <c r="W257" i="2"/>
  <c r="F258" i="2"/>
  <c r="M516" i="2" l="1"/>
  <c r="C517" i="2"/>
  <c r="B517" i="2"/>
  <c r="A518" i="2"/>
  <c r="T517" i="2"/>
  <c r="D517" i="2"/>
  <c r="E518" i="2" s="1"/>
  <c r="L517" i="2"/>
  <c r="Q514" i="2"/>
  <c r="O515" i="2"/>
  <c r="P515" i="2" s="1"/>
  <c r="N516" i="2"/>
  <c r="U258" i="2"/>
  <c r="V258" i="2" s="1"/>
  <c r="M517" i="2" l="1"/>
  <c r="N517" i="2"/>
  <c r="W258" i="2"/>
  <c r="F259" i="2"/>
  <c r="D518" i="2"/>
  <c r="E519" i="2" s="1"/>
  <c r="B518" i="2"/>
  <c r="T518" i="2"/>
  <c r="A519" i="2"/>
  <c r="S519" i="2" s="1"/>
  <c r="L518" i="2"/>
  <c r="M518" i="2" s="1"/>
  <c r="C518" i="2"/>
  <c r="Q515" i="2"/>
  <c r="O516" i="2"/>
  <c r="P516" i="2" s="1"/>
  <c r="O517" i="2" l="1"/>
  <c r="P517" i="2" s="1"/>
  <c r="Q516" i="2"/>
  <c r="N518" i="2"/>
  <c r="S518" i="2" s="1"/>
  <c r="B519" i="2"/>
  <c r="T519" i="2"/>
  <c r="C519" i="2"/>
  <c r="D519" i="2"/>
  <c r="E520" i="2" s="1"/>
  <c r="L519" i="2"/>
  <c r="A520" i="2"/>
  <c r="S520" i="2" s="1"/>
  <c r="U259" i="2"/>
  <c r="V259" i="2" s="1"/>
  <c r="Q517" i="2" l="1"/>
  <c r="N519" i="2"/>
  <c r="O518" i="2"/>
  <c r="P518" i="2" s="1"/>
  <c r="M519" i="2"/>
  <c r="F260" i="2"/>
  <c r="W259" i="2"/>
  <c r="D520" i="2"/>
  <c r="E521" i="2" s="1"/>
  <c r="C520" i="2"/>
  <c r="B520" i="2"/>
  <c r="T520" i="2"/>
  <c r="L520" i="2"/>
  <c r="A521" i="2"/>
  <c r="Q518" i="2" l="1"/>
  <c r="N520" i="2"/>
  <c r="O519" i="2"/>
  <c r="P519" i="2" s="1"/>
  <c r="T521" i="2"/>
  <c r="L521" i="2"/>
  <c r="B521" i="2"/>
  <c r="A522" i="2"/>
  <c r="D521" i="2"/>
  <c r="E522" i="2" s="1"/>
  <c r="C521" i="2"/>
  <c r="M520" i="2"/>
  <c r="U260" i="2"/>
  <c r="V260" i="2" s="1"/>
  <c r="Q519" i="2" l="1"/>
  <c r="N521" i="2"/>
  <c r="W260" i="2"/>
  <c r="F261" i="2"/>
  <c r="M521" i="2"/>
  <c r="O520" i="2"/>
  <c r="P520" i="2" s="1"/>
  <c r="D522" i="2"/>
  <c r="E523" i="2" s="1"/>
  <c r="T522" i="2"/>
  <c r="B522" i="2"/>
  <c r="A523" i="2"/>
  <c r="L522" i="2"/>
  <c r="C522" i="2"/>
  <c r="S521" i="2" l="1"/>
  <c r="N522" i="2"/>
  <c r="U261" i="2"/>
  <c r="V261" i="2" s="1"/>
  <c r="Q520" i="2"/>
  <c r="O521" i="2"/>
  <c r="P521" i="2" s="1"/>
  <c r="B523" i="2"/>
  <c r="T523" i="2"/>
  <c r="L523" i="2"/>
  <c r="A524" i="2"/>
  <c r="D523" i="2"/>
  <c r="E524" i="2" s="1"/>
  <c r="C523" i="2"/>
  <c r="M522" i="2"/>
  <c r="S522" i="2" l="1"/>
  <c r="N523" i="2"/>
  <c r="F262" i="2"/>
  <c r="W261" i="2"/>
  <c r="Q521" i="2"/>
  <c r="O522" i="2"/>
  <c r="P522" i="2" s="1"/>
  <c r="M523" i="2"/>
  <c r="S523" i="2" s="1"/>
  <c r="C524" i="2"/>
  <c r="A525" i="2"/>
  <c r="S525" i="2" s="1"/>
  <c r="T524" i="2"/>
  <c r="L524" i="2"/>
  <c r="D524" i="2"/>
  <c r="E525" i="2" s="1"/>
  <c r="B524" i="2"/>
  <c r="N524" i="2" l="1"/>
  <c r="T525" i="2"/>
  <c r="A526" i="2"/>
  <c r="S526" i="2" s="1"/>
  <c r="B525" i="2"/>
  <c r="C525" i="2"/>
  <c r="L525" i="2"/>
  <c r="D525" i="2"/>
  <c r="E526" i="2" s="1"/>
  <c r="M524" i="2"/>
  <c r="S524" i="2" s="1"/>
  <c r="U262" i="2"/>
  <c r="V262" i="2" s="1"/>
  <c r="Q522" i="2"/>
  <c r="O523" i="2"/>
  <c r="P523" i="2" s="1"/>
  <c r="N525" i="2" l="1"/>
  <c r="M525" i="2"/>
  <c r="F263" i="2"/>
  <c r="W262" i="2"/>
  <c r="Q523" i="2"/>
  <c r="O524" i="2"/>
  <c r="P524" i="2" s="1"/>
  <c r="A527" i="2"/>
  <c r="S527" i="2" s="1"/>
  <c r="B526" i="2"/>
  <c r="D526" i="2"/>
  <c r="E527" i="2" s="1"/>
  <c r="T526" i="2"/>
  <c r="L526" i="2"/>
  <c r="C526" i="2"/>
  <c r="N526" i="2" l="1"/>
  <c r="M526" i="2"/>
  <c r="Q524" i="2"/>
  <c r="O525" i="2"/>
  <c r="P525" i="2" s="1"/>
  <c r="U263" i="2"/>
  <c r="V263" i="2" s="1"/>
  <c r="T527" i="2"/>
  <c r="D527" i="2"/>
  <c r="E528" i="2" s="1"/>
  <c r="B527" i="2"/>
  <c r="A528" i="2"/>
  <c r="S528" i="2" s="1"/>
  <c r="L527" i="2"/>
  <c r="C527" i="2"/>
  <c r="N527" i="2" l="1"/>
  <c r="Q525" i="2"/>
  <c r="O526" i="2"/>
  <c r="P526" i="2" s="1"/>
  <c r="M527" i="2"/>
  <c r="W263" i="2"/>
  <c r="F264" i="2"/>
  <c r="C528" i="2"/>
  <c r="A529" i="2"/>
  <c r="S529" i="2" s="1"/>
  <c r="T528" i="2"/>
  <c r="B528" i="2"/>
  <c r="D528" i="2"/>
  <c r="E529" i="2" s="1"/>
  <c r="L528" i="2"/>
  <c r="N528" i="2" l="1"/>
  <c r="Q526" i="2"/>
  <c r="O527" i="2"/>
  <c r="P527" i="2" s="1"/>
  <c r="U264" i="2"/>
  <c r="V264" i="2" s="1"/>
  <c r="A530" i="2"/>
  <c r="L529" i="2"/>
  <c r="C529" i="2"/>
  <c r="D529" i="2"/>
  <c r="E530" i="2" s="1"/>
  <c r="B529" i="2"/>
  <c r="T529" i="2"/>
  <c r="M528" i="2"/>
  <c r="N529" i="2" l="1"/>
  <c r="W264" i="2"/>
  <c r="F265" i="2"/>
  <c r="T530" i="2"/>
  <c r="L530" i="2"/>
  <c r="N530" i="2" s="1"/>
  <c r="D530" i="2"/>
  <c r="E531" i="2" s="1"/>
  <c r="A531" i="2"/>
  <c r="S531" i="2" s="1"/>
  <c r="C530" i="2"/>
  <c r="B530" i="2"/>
  <c r="M529" i="2"/>
  <c r="Q527" i="2"/>
  <c r="O528" i="2"/>
  <c r="P528" i="2" s="1"/>
  <c r="Q528" i="2" l="1"/>
  <c r="U265" i="2"/>
  <c r="V265" i="2" s="1"/>
  <c r="B531" i="2"/>
  <c r="T531" i="2"/>
  <c r="L531" i="2"/>
  <c r="N531" i="2" s="1"/>
  <c r="D531" i="2"/>
  <c r="C531" i="2"/>
  <c r="M530" i="2"/>
  <c r="S530" i="2" s="1"/>
  <c r="O529" i="2"/>
  <c r="P529" i="2" s="1"/>
  <c r="M531" i="2" l="1"/>
  <c r="W265" i="2"/>
  <c r="F266" i="2"/>
  <c r="Q529" i="2"/>
  <c r="O530" i="2"/>
  <c r="P530" i="2" s="1"/>
  <c r="Q530" i="2" l="1"/>
  <c r="O531" i="2"/>
  <c r="P531" i="2" s="1"/>
  <c r="U266" i="2"/>
  <c r="V266" i="2" s="1"/>
  <c r="Q531" i="2" l="1"/>
  <c r="W266" i="2"/>
  <c r="F267" i="2"/>
  <c r="U267" i="2" l="1"/>
  <c r="V267" i="2" s="1"/>
  <c r="F268" i="2" l="1"/>
  <c r="W267" i="2"/>
  <c r="U268" i="2" l="1"/>
  <c r="V268" i="2" s="1"/>
  <c r="F269" i="2" l="1"/>
  <c r="W268" i="2"/>
  <c r="U269" i="2" l="1"/>
  <c r="V269" i="2" s="1"/>
  <c r="F270" i="2" l="1"/>
  <c r="W269" i="2"/>
  <c r="U270" i="2" l="1"/>
  <c r="V270" i="2" s="1"/>
  <c r="W270" i="2" l="1"/>
  <c r="F271" i="2"/>
  <c r="U271" i="2" l="1"/>
  <c r="V271" i="2" s="1"/>
  <c r="F272" i="2" l="1"/>
  <c r="W271" i="2"/>
  <c r="U272" i="2" l="1"/>
  <c r="V272" i="2" s="1"/>
  <c r="W272" i="2" l="1"/>
  <c r="F273" i="2"/>
  <c r="U273" i="2" l="1"/>
  <c r="V273" i="2" s="1"/>
  <c r="W273" i="2" l="1"/>
  <c r="F274" i="2"/>
  <c r="U274" i="2" l="1"/>
  <c r="V274" i="2" s="1"/>
  <c r="F275" i="2" l="1"/>
  <c r="W274" i="2"/>
  <c r="U275" i="2" l="1"/>
  <c r="V275" i="2" s="1"/>
  <c r="F276" i="2" l="1"/>
  <c r="W275" i="2"/>
  <c r="U276" i="2" l="1"/>
  <c r="V276" i="2" s="1"/>
  <c r="W276" i="2" l="1"/>
  <c r="F277" i="2"/>
  <c r="U277" i="2" l="1"/>
  <c r="V277" i="2" s="1"/>
  <c r="W277" i="2" l="1"/>
  <c r="F278" i="2"/>
  <c r="U278" i="2" l="1"/>
  <c r="V278" i="2" s="1"/>
  <c r="F279" i="2" l="1"/>
  <c r="W278" i="2"/>
  <c r="U279" i="2" l="1"/>
  <c r="V279" i="2" s="1"/>
  <c r="F280" i="2" l="1"/>
  <c r="W279" i="2"/>
  <c r="U280" i="2" l="1"/>
  <c r="V280" i="2" s="1"/>
  <c r="W280" i="2" l="1"/>
  <c r="F281" i="2"/>
  <c r="U281" i="2" l="1"/>
  <c r="V281" i="2" s="1"/>
  <c r="F282" i="2" l="1"/>
  <c r="W281" i="2"/>
  <c r="U282" i="2" l="1"/>
  <c r="V282" i="2" s="1"/>
  <c r="F283" i="2" l="1"/>
  <c r="W282" i="2"/>
  <c r="U283" i="2" l="1"/>
  <c r="V283" i="2" s="1"/>
  <c r="W283" i="2" l="1"/>
  <c r="F284" i="2"/>
  <c r="U284" i="2" l="1"/>
  <c r="V284" i="2" s="1"/>
  <c r="W284" i="2" l="1"/>
  <c r="F285" i="2"/>
  <c r="U285" i="2" l="1"/>
  <c r="V285" i="2" s="1"/>
  <c r="W285" i="2" l="1"/>
  <c r="F286" i="2"/>
  <c r="U286" i="2" l="1"/>
  <c r="V286" i="2" s="1"/>
  <c r="F287" i="2" l="1"/>
  <c r="W286" i="2"/>
  <c r="U287" i="2" l="1"/>
  <c r="V287" i="2" s="1"/>
  <c r="W287" i="2" l="1"/>
  <c r="F288" i="2"/>
  <c r="U288" i="2" l="1"/>
  <c r="V288" i="2" s="1"/>
  <c r="F289" i="2" l="1"/>
  <c r="W288" i="2"/>
  <c r="U289" i="2" l="1"/>
  <c r="V289" i="2" s="1"/>
  <c r="F290" i="2" l="1"/>
  <c r="W289" i="2"/>
  <c r="U290" i="2" l="1"/>
  <c r="V290" i="2" s="1"/>
  <c r="F291" i="2" l="1"/>
  <c r="W290" i="2"/>
  <c r="U291" i="2" l="1"/>
  <c r="V291" i="2" s="1"/>
  <c r="F292" i="2" l="1"/>
  <c r="W291" i="2"/>
  <c r="U292" i="2" l="1"/>
  <c r="V292" i="2" s="1"/>
  <c r="W292" i="2" l="1"/>
  <c r="F293" i="2"/>
  <c r="U293" i="2" l="1"/>
  <c r="V293" i="2" s="1"/>
  <c r="W293" i="2" l="1"/>
  <c r="F294" i="2"/>
  <c r="U294" i="2" l="1"/>
  <c r="V294" i="2" s="1"/>
  <c r="F295" i="2" l="1"/>
  <c r="W294" i="2"/>
  <c r="U295" i="2" l="1"/>
  <c r="V295" i="2" s="1"/>
  <c r="W295" i="2" l="1"/>
  <c r="F296" i="2"/>
  <c r="U296" i="2" l="1"/>
  <c r="V296" i="2" s="1"/>
  <c r="F297" i="2" l="1"/>
  <c r="W296" i="2"/>
  <c r="U297" i="2" l="1"/>
  <c r="V297" i="2" s="1"/>
  <c r="W297" i="2" l="1"/>
  <c r="F298" i="2"/>
  <c r="U298" i="2" l="1"/>
  <c r="V298" i="2" s="1"/>
  <c r="W298" i="2" l="1"/>
  <c r="F299" i="2"/>
  <c r="U299" i="2" l="1"/>
  <c r="V299" i="2" s="1"/>
  <c r="F300" i="2" l="1"/>
  <c r="W299" i="2"/>
  <c r="U300" i="2" l="1"/>
  <c r="V300" i="2" s="1"/>
  <c r="W300" i="2" l="1"/>
  <c r="F301" i="2"/>
  <c r="U301" i="2" l="1"/>
  <c r="V301" i="2" s="1"/>
  <c r="W301" i="2" l="1"/>
  <c r="F302" i="2"/>
  <c r="U302" i="2" l="1"/>
  <c r="V302" i="2" s="1"/>
  <c r="F303" i="2" l="1"/>
  <c r="W302" i="2"/>
  <c r="U303" i="2" l="1"/>
  <c r="V303" i="2" s="1"/>
  <c r="F304" i="2" l="1"/>
  <c r="W303" i="2"/>
  <c r="U304" i="2" l="1"/>
  <c r="V304" i="2" s="1"/>
  <c r="F305" i="2" l="1"/>
  <c r="W304" i="2"/>
  <c r="U305" i="2" l="1"/>
  <c r="V305" i="2" s="1"/>
  <c r="F306" i="2" l="1"/>
  <c r="W305" i="2"/>
  <c r="U306" i="2" l="1"/>
  <c r="V306" i="2" s="1"/>
  <c r="F307" i="2" l="1"/>
  <c r="W306" i="2"/>
  <c r="U307" i="2" l="1"/>
  <c r="V307" i="2" s="1"/>
  <c r="W307" i="2" l="1"/>
  <c r="F308" i="2"/>
  <c r="U308" i="2" l="1"/>
  <c r="V308" i="2" s="1"/>
  <c r="W308" i="2" l="1"/>
  <c r="F309" i="2"/>
  <c r="U309" i="2" l="1"/>
  <c r="V309" i="2" s="1"/>
  <c r="W309" i="2" l="1"/>
  <c r="F310" i="2"/>
  <c r="U310" i="2" l="1"/>
  <c r="V310" i="2" s="1"/>
  <c r="F311" i="2" l="1"/>
  <c r="W310" i="2"/>
  <c r="U311" i="2" l="1"/>
  <c r="V311" i="2" s="1"/>
  <c r="F312" i="2" l="1"/>
  <c r="W311" i="2"/>
  <c r="U312" i="2" l="1"/>
  <c r="V312" i="2" s="1"/>
  <c r="F313" i="2" l="1"/>
  <c r="W312" i="2"/>
  <c r="U313" i="2" l="1"/>
  <c r="V313" i="2" s="1"/>
  <c r="F314" i="2" l="1"/>
  <c r="W313" i="2"/>
  <c r="U314" i="2" l="1"/>
  <c r="V314" i="2" s="1"/>
  <c r="F315" i="2" l="1"/>
  <c r="W314" i="2"/>
  <c r="U315" i="2" l="1"/>
  <c r="V315" i="2" s="1"/>
  <c r="W315" i="2" l="1"/>
  <c r="F316" i="2"/>
  <c r="U316" i="2" l="1"/>
  <c r="V316" i="2" s="1"/>
  <c r="W316" i="2" l="1"/>
  <c r="F317" i="2"/>
  <c r="U317" i="2" l="1"/>
  <c r="V317" i="2" s="1"/>
  <c r="F318" i="2" l="1"/>
  <c r="W317" i="2"/>
  <c r="U318" i="2" l="1"/>
  <c r="V318" i="2" s="1"/>
  <c r="W318" i="2" l="1"/>
  <c r="F319" i="2"/>
  <c r="U319" i="2" l="1"/>
  <c r="V319" i="2" s="1"/>
  <c r="F320" i="2" l="1"/>
  <c r="W319" i="2"/>
  <c r="U320" i="2" l="1"/>
  <c r="V320" i="2" s="1"/>
  <c r="W320" i="2" l="1"/>
  <c r="F321" i="2"/>
  <c r="U321" i="2" l="1"/>
  <c r="V321" i="2" s="1"/>
  <c r="W321" i="2" l="1"/>
  <c r="F322" i="2"/>
  <c r="U322" i="2" l="1"/>
  <c r="V322" i="2" s="1"/>
  <c r="W322" i="2" l="1"/>
  <c r="F323" i="2"/>
  <c r="U323" i="2" l="1"/>
  <c r="V323" i="2" s="1"/>
  <c r="F324" i="2" l="1"/>
  <c r="W323" i="2"/>
  <c r="U324" i="2" l="1"/>
  <c r="V324" i="2" s="1"/>
  <c r="F325" i="2" l="1"/>
  <c r="W324" i="2"/>
  <c r="U325" i="2" l="1"/>
  <c r="V325" i="2" s="1"/>
  <c r="F326" i="2" l="1"/>
  <c r="W325" i="2"/>
  <c r="U326" i="2" l="1"/>
  <c r="V326" i="2" s="1"/>
  <c r="W326" i="2" l="1"/>
  <c r="F327" i="2"/>
  <c r="U327" i="2" l="1"/>
  <c r="V327" i="2" s="1"/>
  <c r="W327" i="2" l="1"/>
  <c r="F328" i="2"/>
  <c r="U328" i="2" l="1"/>
  <c r="V328" i="2" s="1"/>
  <c r="F329" i="2" l="1"/>
  <c r="W328" i="2"/>
  <c r="U329" i="2" l="1"/>
  <c r="V329" i="2" s="1"/>
  <c r="F330" i="2" l="1"/>
  <c r="W329" i="2"/>
  <c r="U330" i="2" l="1"/>
  <c r="V330" i="2" s="1"/>
  <c r="W330" i="2" l="1"/>
  <c r="F331" i="2"/>
  <c r="U331" i="2" l="1"/>
  <c r="V331" i="2" s="1"/>
  <c r="F332" i="2" l="1"/>
  <c r="W331" i="2"/>
  <c r="U332" i="2" l="1"/>
  <c r="V332" i="2" s="1"/>
  <c r="W332" i="2" l="1"/>
  <c r="F333" i="2"/>
  <c r="U333" i="2" l="1"/>
  <c r="V333" i="2" s="1"/>
  <c r="F334" i="2" l="1"/>
  <c r="W333" i="2"/>
  <c r="U334" i="2" l="1"/>
  <c r="V334" i="2" s="1"/>
  <c r="F335" i="2" l="1"/>
  <c r="W334" i="2"/>
  <c r="U335" i="2" l="1"/>
  <c r="V335" i="2" s="1"/>
  <c r="F336" i="2" l="1"/>
  <c r="W335" i="2"/>
  <c r="U336" i="2" l="1"/>
  <c r="V336" i="2" s="1"/>
  <c r="F337" i="2" l="1"/>
  <c r="W336" i="2"/>
  <c r="U337" i="2" l="1"/>
  <c r="V337" i="2" s="1"/>
  <c r="W337" i="2" l="1"/>
  <c r="F338" i="2"/>
  <c r="U338" i="2" l="1"/>
  <c r="V338" i="2" s="1"/>
  <c r="F339" i="2" l="1"/>
  <c r="W338" i="2"/>
  <c r="U339" i="2" l="1"/>
  <c r="V339" i="2" s="1"/>
  <c r="W339" i="2" l="1"/>
  <c r="F340" i="2"/>
  <c r="U340" i="2" l="1"/>
  <c r="V340" i="2" s="1"/>
  <c r="F341" i="2" l="1"/>
  <c r="W340" i="2"/>
  <c r="U341" i="2" l="1"/>
  <c r="V341" i="2" s="1"/>
  <c r="W341" i="2" l="1"/>
  <c r="F342" i="2"/>
  <c r="U342" i="2" l="1"/>
  <c r="V342" i="2" s="1"/>
  <c r="W342" i="2" l="1"/>
  <c r="F343" i="2"/>
  <c r="U343" i="2" l="1"/>
  <c r="V343" i="2" s="1"/>
  <c r="W343" i="2" l="1"/>
  <c r="F344" i="2"/>
  <c r="U344" i="2" l="1"/>
  <c r="V344" i="2" s="1"/>
  <c r="F345" i="2" l="1"/>
  <c r="W344" i="2"/>
  <c r="U345" i="2" l="1"/>
  <c r="V345" i="2" s="1"/>
  <c r="W345" i="2" l="1"/>
  <c r="F346" i="2"/>
  <c r="U346" i="2" l="1"/>
  <c r="V346" i="2" s="1"/>
  <c r="W346" i="2" l="1"/>
  <c r="F347" i="2"/>
  <c r="U347" i="2" l="1"/>
  <c r="V347" i="2" s="1"/>
  <c r="F348" i="2" l="1"/>
  <c r="W347" i="2"/>
  <c r="U348" i="2" l="1"/>
  <c r="V348" i="2" s="1"/>
  <c r="F349" i="2" l="1"/>
  <c r="W348" i="2"/>
  <c r="U349" i="2" l="1"/>
  <c r="V349" i="2" s="1"/>
  <c r="W349" i="2" l="1"/>
  <c r="F350" i="2"/>
  <c r="U350" i="2" l="1"/>
  <c r="V350" i="2" s="1"/>
  <c r="F351" i="2" l="1"/>
  <c r="W350" i="2"/>
  <c r="U351" i="2" l="1"/>
  <c r="V351" i="2" s="1"/>
  <c r="F352" i="2" l="1"/>
  <c r="W351" i="2"/>
  <c r="U352" i="2" l="1"/>
  <c r="V352" i="2" s="1"/>
  <c r="W352" i="2" l="1"/>
  <c r="F353" i="2"/>
  <c r="U353" i="2" l="1"/>
  <c r="V353" i="2" s="1"/>
  <c r="W353" i="2" l="1"/>
  <c r="F354" i="2"/>
  <c r="U354" i="2" l="1"/>
  <c r="V354" i="2" s="1"/>
  <c r="F355" i="2" l="1"/>
  <c r="W354" i="2"/>
  <c r="U355" i="2" l="1"/>
  <c r="V355" i="2" s="1"/>
  <c r="W355" i="2" l="1"/>
  <c r="F356" i="2"/>
  <c r="U356" i="2" l="1"/>
  <c r="V356" i="2" s="1"/>
  <c r="W356" i="2" l="1"/>
  <c r="F357" i="2"/>
  <c r="U357" i="2" l="1"/>
  <c r="V357" i="2" s="1"/>
  <c r="F358" i="2" l="1"/>
  <c r="W357" i="2"/>
  <c r="U358" i="2" l="1"/>
  <c r="V358" i="2" s="1"/>
  <c r="F359" i="2" l="1"/>
  <c r="W358" i="2"/>
  <c r="U359" i="2" l="1"/>
  <c r="V359" i="2" s="1"/>
  <c r="F360" i="2" l="1"/>
  <c r="W359" i="2"/>
  <c r="U360" i="2" l="1"/>
  <c r="V360" i="2" s="1"/>
  <c r="W360" i="2" l="1"/>
  <c r="F361" i="2"/>
  <c r="U361" i="2" l="1"/>
  <c r="V361" i="2" s="1"/>
  <c r="W361" i="2" l="1"/>
  <c r="F362" i="2"/>
  <c r="U362" i="2" l="1"/>
  <c r="V362" i="2" s="1"/>
  <c r="W362" i="2" l="1"/>
  <c r="F363" i="2"/>
  <c r="U363" i="2" l="1"/>
  <c r="V363" i="2" s="1"/>
  <c r="W363" i="2" l="1"/>
  <c r="F364" i="2"/>
  <c r="U364" i="2" l="1"/>
  <c r="V364" i="2" s="1"/>
  <c r="F365" i="2" l="1"/>
  <c r="W364" i="2"/>
  <c r="U365" i="2" l="1"/>
  <c r="V365" i="2" s="1"/>
  <c r="F366" i="2" l="1"/>
  <c r="W365" i="2"/>
  <c r="U366" i="2" l="1"/>
  <c r="V366" i="2" s="1"/>
  <c r="F367" i="2" l="1"/>
  <c r="W366" i="2"/>
  <c r="U367" i="2" l="1"/>
  <c r="V367" i="2" s="1"/>
  <c r="F368" i="2" l="1"/>
  <c r="W367" i="2"/>
  <c r="U368" i="2" l="1"/>
  <c r="V368" i="2" s="1"/>
  <c r="W368" i="2" l="1"/>
  <c r="F369" i="2"/>
  <c r="U369" i="2" l="1"/>
  <c r="V369" i="2" s="1"/>
  <c r="W369" i="2" l="1"/>
  <c r="F370" i="2"/>
  <c r="U370" i="2" l="1"/>
  <c r="V370" i="2" s="1"/>
  <c r="F371" i="2" l="1"/>
  <c r="W370" i="2"/>
  <c r="U371" i="2" l="1"/>
  <c r="V371" i="2" s="1"/>
  <c r="F372" i="2" l="1"/>
  <c r="W371" i="2"/>
  <c r="U372" i="2" l="1"/>
  <c r="V372" i="2" s="1"/>
  <c r="W372" i="2" l="1"/>
  <c r="F373" i="2"/>
  <c r="U373" i="2" l="1"/>
  <c r="V373" i="2" s="1"/>
  <c r="F374" i="2" l="1"/>
  <c r="W373" i="2"/>
  <c r="U374" i="2" l="1"/>
  <c r="V374" i="2" s="1"/>
  <c r="F375" i="2" l="1"/>
  <c r="W374" i="2"/>
  <c r="U375" i="2" l="1"/>
  <c r="V375" i="2" s="1"/>
  <c r="W375" i="2" l="1"/>
  <c r="F376" i="2"/>
  <c r="U376" i="2" l="1"/>
  <c r="V376" i="2" s="1"/>
  <c r="F377" i="2" l="1"/>
  <c r="W376" i="2"/>
  <c r="U377" i="2" l="1"/>
  <c r="V377" i="2" s="1"/>
  <c r="W377" i="2" l="1"/>
  <c r="F378" i="2"/>
  <c r="U378" i="2" l="1"/>
  <c r="V378" i="2" s="1"/>
  <c r="F379" i="2" l="1"/>
  <c r="W378" i="2"/>
  <c r="U379" i="2" l="1"/>
  <c r="V379" i="2" s="1"/>
  <c r="W379" i="2" l="1"/>
  <c r="F380" i="2"/>
  <c r="U380" i="2" l="1"/>
  <c r="V380" i="2" s="1"/>
  <c r="F381" i="2" l="1"/>
  <c r="W380" i="2"/>
  <c r="U381" i="2" l="1"/>
  <c r="V381" i="2" s="1"/>
  <c r="F382" i="2" l="1"/>
  <c r="W381" i="2"/>
  <c r="U382" i="2" l="1"/>
  <c r="V382" i="2" s="1"/>
  <c r="W382" i="2" l="1"/>
  <c r="F383" i="2"/>
  <c r="U383" i="2" l="1"/>
  <c r="V383" i="2" s="1"/>
  <c r="W383" i="2" l="1"/>
  <c r="F384" i="2"/>
  <c r="U384" i="2" l="1"/>
  <c r="V384" i="2" s="1"/>
  <c r="F385" i="2" l="1"/>
  <c r="W384" i="2"/>
  <c r="U385" i="2" l="1"/>
  <c r="V385" i="2" s="1"/>
  <c r="W385" i="2" l="1"/>
  <c r="F386" i="2"/>
  <c r="U386" i="2" l="1"/>
  <c r="V386" i="2" s="1"/>
  <c r="F387" i="2" l="1"/>
  <c r="W386" i="2"/>
  <c r="U387" i="2" l="1"/>
  <c r="V387" i="2" s="1"/>
  <c r="F388" i="2" l="1"/>
  <c r="W387" i="2"/>
  <c r="U388" i="2" l="1"/>
  <c r="V388" i="2" s="1"/>
  <c r="W388" i="2" l="1"/>
  <c r="F389" i="2"/>
  <c r="U389" i="2" l="1"/>
  <c r="V389" i="2" s="1"/>
  <c r="F390" i="2" l="1"/>
  <c r="W389" i="2"/>
  <c r="U390" i="2" l="1"/>
  <c r="V390" i="2" s="1"/>
  <c r="W390" i="2" l="1"/>
  <c r="F391" i="2"/>
  <c r="U391" i="2" l="1"/>
  <c r="V391" i="2" s="1"/>
  <c r="W391" i="2" l="1"/>
  <c r="F392" i="2"/>
  <c r="U392" i="2" l="1"/>
  <c r="V392" i="2" s="1"/>
  <c r="F393" i="2" l="1"/>
  <c r="W392" i="2"/>
  <c r="U393" i="2" l="1"/>
  <c r="V393" i="2" s="1"/>
  <c r="F394" i="2" l="1"/>
  <c r="W393" i="2"/>
  <c r="U394" i="2" l="1"/>
  <c r="V394" i="2" s="1"/>
  <c r="F395" i="2" l="1"/>
  <c r="W394" i="2"/>
  <c r="U395" i="2" l="1"/>
  <c r="V395" i="2" s="1"/>
  <c r="F396" i="2" l="1"/>
  <c r="W395" i="2"/>
  <c r="U396" i="2" l="1"/>
  <c r="V396" i="2" s="1"/>
  <c r="W396" i="2" l="1"/>
  <c r="F397" i="2"/>
  <c r="U397" i="2" l="1"/>
  <c r="V397" i="2" s="1"/>
  <c r="W397" i="2" l="1"/>
  <c r="F398" i="2"/>
  <c r="U398" i="2" l="1"/>
  <c r="V398" i="2" s="1"/>
  <c r="W398" i="2" l="1"/>
  <c r="F399" i="2"/>
  <c r="U399" i="2" l="1"/>
  <c r="V399" i="2" s="1"/>
  <c r="W399" i="2" l="1"/>
  <c r="F400" i="2"/>
  <c r="U400" i="2" l="1"/>
  <c r="V400" i="2" s="1"/>
  <c r="W400" i="2" l="1"/>
  <c r="F401" i="2"/>
  <c r="U401" i="2" l="1"/>
  <c r="V401" i="2" s="1"/>
  <c r="F402" i="2" l="1"/>
  <c r="W401" i="2"/>
  <c r="U402" i="2" l="1"/>
  <c r="V402" i="2" s="1"/>
  <c r="F403" i="2" l="1"/>
  <c r="W402" i="2"/>
  <c r="U403" i="2" l="1"/>
  <c r="V403" i="2" s="1"/>
  <c r="F404" i="2" l="1"/>
  <c r="W403" i="2"/>
  <c r="U404" i="2" l="1"/>
  <c r="V404" i="2" s="1"/>
  <c r="F405" i="2" l="1"/>
  <c r="W404" i="2"/>
  <c r="U405" i="2" l="1"/>
  <c r="V405" i="2" s="1"/>
  <c r="W405" i="2" l="1"/>
  <c r="F406" i="2"/>
  <c r="U406" i="2" l="1"/>
  <c r="V406" i="2" s="1"/>
  <c r="W406" i="2" l="1"/>
  <c r="F407" i="2"/>
  <c r="U407" i="2" l="1"/>
  <c r="V407" i="2" s="1"/>
  <c r="F408" i="2" l="1"/>
  <c r="W407" i="2"/>
  <c r="U408" i="2" l="1"/>
  <c r="V408" i="2" s="1"/>
  <c r="F409" i="2" l="1"/>
  <c r="W408" i="2"/>
  <c r="U409" i="2" l="1"/>
  <c r="V409" i="2" s="1"/>
  <c r="F410" i="2" l="1"/>
  <c r="W409" i="2"/>
  <c r="U410" i="2" l="1"/>
  <c r="V410" i="2" s="1"/>
  <c r="W410" i="2" l="1"/>
  <c r="F411" i="2"/>
  <c r="U411" i="2" l="1"/>
  <c r="V411" i="2" s="1"/>
  <c r="W411" i="2" l="1"/>
  <c r="F412" i="2"/>
  <c r="U412" i="2" l="1"/>
  <c r="V412" i="2" s="1"/>
  <c r="F413" i="2" l="1"/>
  <c r="W412" i="2"/>
  <c r="U413" i="2" l="1"/>
  <c r="V413" i="2" s="1"/>
  <c r="F414" i="2" l="1"/>
  <c r="W413" i="2"/>
  <c r="U414" i="2" l="1"/>
  <c r="V414" i="2" s="1"/>
  <c r="F415" i="2" l="1"/>
  <c r="W414" i="2"/>
  <c r="U415" i="2" l="1"/>
  <c r="V415" i="2" s="1"/>
  <c r="F416" i="2" l="1"/>
  <c r="W415" i="2"/>
  <c r="U416" i="2" l="1"/>
  <c r="V416" i="2" s="1"/>
  <c r="F417" i="2" l="1"/>
  <c r="W416" i="2"/>
  <c r="U417" i="2" l="1"/>
  <c r="V417" i="2" s="1"/>
  <c r="F418" i="2" l="1"/>
  <c r="W417" i="2"/>
  <c r="U418" i="2" l="1"/>
  <c r="V418" i="2" s="1"/>
  <c r="W418" i="2" l="1"/>
  <c r="F419" i="2"/>
  <c r="U419" i="2" l="1"/>
  <c r="V419" i="2" s="1"/>
  <c r="F420" i="2" l="1"/>
  <c r="W419" i="2"/>
  <c r="U420" i="2" l="1"/>
  <c r="V420" i="2" s="1"/>
  <c r="F421" i="2" l="1"/>
  <c r="W420" i="2"/>
  <c r="U421" i="2" l="1"/>
  <c r="V421" i="2" s="1"/>
  <c r="F422" i="2" l="1"/>
  <c r="W421" i="2"/>
  <c r="U422" i="2" l="1"/>
  <c r="V422" i="2" s="1"/>
  <c r="F423" i="2" l="1"/>
  <c r="W422" i="2"/>
  <c r="U423" i="2" l="1"/>
  <c r="V423" i="2" s="1"/>
  <c r="F424" i="2" l="1"/>
  <c r="W423" i="2"/>
  <c r="U424" i="2" l="1"/>
  <c r="V424" i="2" s="1"/>
  <c r="F425" i="2" l="1"/>
  <c r="W424" i="2"/>
  <c r="U425" i="2" l="1"/>
  <c r="V425" i="2" s="1"/>
  <c r="W425" i="2" l="1"/>
  <c r="F426" i="2"/>
  <c r="U426" i="2" l="1"/>
  <c r="V426" i="2" s="1"/>
  <c r="W426" i="2" l="1"/>
  <c r="F427" i="2"/>
  <c r="U427" i="2" l="1"/>
  <c r="V427" i="2" s="1"/>
  <c r="F428" i="2" l="1"/>
  <c r="W427" i="2"/>
  <c r="U428" i="2" l="1"/>
  <c r="V428" i="2" s="1"/>
  <c r="W428" i="2" l="1"/>
  <c r="F429" i="2"/>
  <c r="U429" i="2" l="1"/>
  <c r="V429" i="2" s="1"/>
  <c r="F430" i="2" l="1"/>
  <c r="W429" i="2"/>
  <c r="U430" i="2" l="1"/>
  <c r="V430" i="2" s="1"/>
  <c r="W430" i="2" l="1"/>
  <c r="F431" i="2"/>
  <c r="U431" i="2" l="1"/>
  <c r="V431" i="2" s="1"/>
  <c r="F432" i="2" l="1"/>
  <c r="W431" i="2"/>
  <c r="U432" i="2" l="1"/>
  <c r="V432" i="2" s="1"/>
  <c r="W432" i="2" l="1"/>
  <c r="F433" i="2"/>
  <c r="U433" i="2" l="1"/>
  <c r="V433" i="2" s="1"/>
  <c r="W433" i="2" l="1"/>
  <c r="F434" i="2"/>
  <c r="U434" i="2" l="1"/>
  <c r="V434" i="2" s="1"/>
  <c r="W434" i="2" l="1"/>
  <c r="F435" i="2"/>
  <c r="U435" i="2" l="1"/>
  <c r="V435" i="2" s="1"/>
  <c r="F436" i="2" l="1"/>
  <c r="W435" i="2"/>
  <c r="U436" i="2" l="1"/>
  <c r="V436" i="2" s="1"/>
  <c r="W436" i="2" l="1"/>
  <c r="F437" i="2"/>
  <c r="U437" i="2" l="1"/>
  <c r="V437" i="2" s="1"/>
  <c r="W437" i="2" l="1"/>
  <c r="F438" i="2"/>
  <c r="U438" i="2" l="1"/>
  <c r="V438" i="2" s="1"/>
  <c r="W438" i="2" l="1"/>
  <c r="F439" i="2"/>
  <c r="U439" i="2" l="1"/>
  <c r="V439" i="2" s="1"/>
  <c r="W439" i="2" l="1"/>
  <c r="F440" i="2"/>
  <c r="U440" i="2" l="1"/>
  <c r="V440" i="2" s="1"/>
  <c r="W440" i="2" l="1"/>
  <c r="F441" i="2"/>
  <c r="U441" i="2" l="1"/>
  <c r="V441" i="2" s="1"/>
  <c r="W441" i="2" l="1"/>
  <c r="F442" i="2"/>
  <c r="U442" i="2" l="1"/>
  <c r="V442" i="2" s="1"/>
  <c r="W442" i="2" l="1"/>
  <c r="F443" i="2"/>
  <c r="U443" i="2" l="1"/>
  <c r="V443" i="2" s="1"/>
  <c r="W443" i="2" l="1"/>
  <c r="F444" i="2"/>
  <c r="U444" i="2" l="1"/>
  <c r="V444" i="2" s="1"/>
  <c r="W444" i="2" l="1"/>
  <c r="F445" i="2"/>
  <c r="U445" i="2" l="1"/>
  <c r="V445" i="2" s="1"/>
  <c r="W445" i="2" l="1"/>
  <c r="F446" i="2"/>
  <c r="U446" i="2" l="1"/>
  <c r="V446" i="2" s="1"/>
  <c r="W446" i="2" l="1"/>
  <c r="F447" i="2"/>
  <c r="U447" i="2" l="1"/>
  <c r="V447" i="2" s="1"/>
  <c r="W447" i="2" l="1"/>
  <c r="F448" i="2"/>
  <c r="U448" i="2" l="1"/>
  <c r="V448" i="2" s="1"/>
  <c r="F449" i="2" l="1"/>
  <c r="W448" i="2"/>
  <c r="U449" i="2" l="1"/>
  <c r="V449" i="2" s="1"/>
  <c r="F450" i="2" l="1"/>
  <c r="W449" i="2"/>
  <c r="U450" i="2" l="1"/>
  <c r="V450" i="2" s="1"/>
  <c r="F451" i="2" l="1"/>
  <c r="W450" i="2"/>
  <c r="U451" i="2" l="1"/>
  <c r="V451" i="2" s="1"/>
  <c r="W451" i="2" l="1"/>
  <c r="F452" i="2"/>
  <c r="U452" i="2" l="1"/>
  <c r="V452" i="2" s="1"/>
  <c r="W452" i="2" l="1"/>
  <c r="F453" i="2"/>
  <c r="U453" i="2" l="1"/>
  <c r="V453" i="2" s="1"/>
  <c r="W453" i="2" l="1"/>
  <c r="F454" i="2"/>
  <c r="U454" i="2" l="1"/>
  <c r="V454" i="2" s="1"/>
  <c r="W454" i="2" l="1"/>
  <c r="F455" i="2"/>
  <c r="U455" i="2" l="1"/>
  <c r="V455" i="2" s="1"/>
  <c r="W455" i="2" l="1"/>
  <c r="F456" i="2"/>
  <c r="U456" i="2" l="1"/>
  <c r="V456" i="2" s="1"/>
  <c r="W456" i="2" l="1"/>
  <c r="F457" i="2"/>
  <c r="U457" i="2" l="1"/>
  <c r="V457" i="2" s="1"/>
  <c r="W457" i="2" l="1"/>
  <c r="F458" i="2"/>
  <c r="U458" i="2" l="1"/>
  <c r="V458" i="2" s="1"/>
  <c r="F459" i="2" l="1"/>
  <c r="W458" i="2"/>
  <c r="U459" i="2" l="1"/>
  <c r="V459" i="2" s="1"/>
  <c r="F460" i="2" l="1"/>
  <c r="W459" i="2"/>
  <c r="U460" i="2" l="1"/>
  <c r="V460" i="2" s="1"/>
  <c r="F461" i="2" l="1"/>
  <c r="W460" i="2"/>
  <c r="U461" i="2" l="1"/>
  <c r="V461" i="2" s="1"/>
  <c r="F462" i="2" l="1"/>
  <c r="W461" i="2"/>
  <c r="U462" i="2" l="1"/>
  <c r="V462" i="2" s="1"/>
  <c r="W462" i="2" l="1"/>
  <c r="F463" i="2"/>
  <c r="U463" i="2" l="1"/>
  <c r="V463" i="2" s="1"/>
  <c r="W463" i="2" l="1"/>
  <c r="F464" i="2"/>
  <c r="U464" i="2" l="1"/>
  <c r="V464" i="2" s="1"/>
  <c r="F465" i="2" l="1"/>
  <c r="W464" i="2"/>
  <c r="U465" i="2" l="1"/>
  <c r="V465" i="2" s="1"/>
  <c r="F466" i="2" l="1"/>
  <c r="W465" i="2"/>
  <c r="U466" i="2" l="1"/>
  <c r="V466" i="2" s="1"/>
  <c r="F467" i="2" l="1"/>
  <c r="W466" i="2"/>
  <c r="U467" i="2" l="1"/>
  <c r="V467" i="2" s="1"/>
  <c r="F468" i="2" l="1"/>
  <c r="W467" i="2"/>
  <c r="U468" i="2" l="1"/>
  <c r="V468" i="2" s="1"/>
  <c r="F469" i="2" l="1"/>
  <c r="W468" i="2"/>
  <c r="U469" i="2" l="1"/>
  <c r="V469" i="2" s="1"/>
  <c r="W469" i="2" l="1"/>
  <c r="F470" i="2"/>
  <c r="U470" i="2" l="1"/>
  <c r="V470" i="2" s="1"/>
  <c r="F471" i="2" l="1"/>
  <c r="W470" i="2"/>
  <c r="U471" i="2" l="1"/>
  <c r="V471" i="2" s="1"/>
  <c r="W471" i="2" l="1"/>
  <c r="F472" i="2"/>
  <c r="U472" i="2" l="1"/>
  <c r="V472" i="2" s="1"/>
  <c r="F473" i="2" l="1"/>
  <c r="W472" i="2"/>
  <c r="U473" i="2" l="1"/>
  <c r="V473" i="2" s="1"/>
  <c r="F474" i="2" l="1"/>
  <c r="W473" i="2"/>
  <c r="U474" i="2" l="1"/>
  <c r="V474" i="2" s="1"/>
  <c r="F475" i="2" l="1"/>
  <c r="W474" i="2"/>
  <c r="U475" i="2" l="1"/>
  <c r="V475" i="2" s="1"/>
  <c r="F476" i="2" l="1"/>
  <c r="W475" i="2"/>
  <c r="U476" i="2" l="1"/>
  <c r="V476" i="2" s="1"/>
  <c r="W476" i="2" l="1"/>
  <c r="F477" i="2"/>
  <c r="U477" i="2" l="1"/>
  <c r="V477" i="2" s="1"/>
  <c r="F478" i="2" l="1"/>
  <c r="W477" i="2"/>
  <c r="U478" i="2" l="1"/>
  <c r="V478" i="2" s="1"/>
  <c r="W478" i="2" l="1"/>
  <c r="F479" i="2"/>
  <c r="U479" i="2" l="1"/>
  <c r="V479" i="2" s="1"/>
  <c r="W479" i="2" l="1"/>
  <c r="F480" i="2"/>
  <c r="U480" i="2" l="1"/>
  <c r="V480" i="2" s="1"/>
  <c r="F481" i="2" l="1"/>
  <c r="W480" i="2"/>
  <c r="U481" i="2" l="1"/>
  <c r="V481" i="2" s="1"/>
  <c r="F482" i="2" l="1"/>
  <c r="W481" i="2"/>
  <c r="U482" i="2" l="1"/>
  <c r="V482" i="2" s="1"/>
  <c r="W482" i="2" l="1"/>
  <c r="F483" i="2"/>
  <c r="U483" i="2" l="1"/>
  <c r="V483" i="2" s="1"/>
  <c r="F484" i="2" l="1"/>
  <c r="W483" i="2"/>
  <c r="U484" i="2" l="1"/>
  <c r="V484" i="2" s="1"/>
  <c r="W484" i="2" l="1"/>
  <c r="F485" i="2"/>
  <c r="U485" i="2" l="1"/>
  <c r="V485" i="2" s="1"/>
  <c r="F486" i="2" l="1"/>
  <c r="W485" i="2"/>
  <c r="U486" i="2" l="1"/>
  <c r="V486" i="2" s="1"/>
  <c r="W486" i="2" l="1"/>
  <c r="F487" i="2"/>
  <c r="U487" i="2" l="1"/>
  <c r="V487" i="2" s="1"/>
  <c r="F488" i="2" l="1"/>
  <c r="W487" i="2"/>
  <c r="U488" i="2" l="1"/>
  <c r="V488" i="2" s="1"/>
  <c r="W488" i="2" l="1"/>
  <c r="F489" i="2"/>
  <c r="U489" i="2" l="1"/>
  <c r="V489" i="2" s="1"/>
  <c r="W489" i="2" l="1"/>
  <c r="F490" i="2"/>
  <c r="U490" i="2" l="1"/>
  <c r="V490" i="2" s="1"/>
  <c r="W490" i="2" l="1"/>
  <c r="F491" i="2"/>
  <c r="U491" i="2" l="1"/>
  <c r="V491" i="2" s="1"/>
  <c r="W491" i="2" l="1"/>
  <c r="F492" i="2"/>
  <c r="U492" i="2" l="1"/>
  <c r="V492" i="2" s="1"/>
  <c r="F493" i="2" l="1"/>
  <c r="W492" i="2"/>
  <c r="U493" i="2" l="1"/>
  <c r="V493" i="2" s="1"/>
  <c r="F494" i="2" l="1"/>
  <c r="W493" i="2"/>
  <c r="U494" i="2" l="1"/>
  <c r="V494" i="2" s="1"/>
  <c r="W494" i="2" l="1"/>
  <c r="F495" i="2"/>
  <c r="U495" i="2" l="1"/>
  <c r="V495" i="2" s="1"/>
  <c r="W495" i="2" l="1"/>
  <c r="F496" i="2"/>
  <c r="U496" i="2" l="1"/>
  <c r="V496" i="2" s="1"/>
  <c r="F497" i="2" l="1"/>
  <c r="W496" i="2"/>
  <c r="U497" i="2" l="1"/>
  <c r="V497" i="2" s="1"/>
  <c r="W497" i="2" l="1"/>
  <c r="F498" i="2"/>
  <c r="U498" i="2" l="1"/>
  <c r="V498" i="2" s="1"/>
  <c r="W498" i="2" l="1"/>
  <c r="F499" i="2"/>
  <c r="U499" i="2" l="1"/>
  <c r="V499" i="2" s="1"/>
  <c r="W499" i="2" l="1"/>
  <c r="F500" i="2"/>
  <c r="U500" i="2" l="1"/>
  <c r="V500" i="2" s="1"/>
  <c r="W500" i="2" l="1"/>
  <c r="F501" i="2"/>
  <c r="U501" i="2" l="1"/>
  <c r="V501" i="2" s="1"/>
  <c r="F502" i="2" l="1"/>
  <c r="W501" i="2"/>
  <c r="U502" i="2" l="1"/>
  <c r="V502" i="2" s="1"/>
  <c r="W502" i="2" l="1"/>
  <c r="F503" i="2"/>
  <c r="U503" i="2" l="1"/>
  <c r="V503" i="2" s="1"/>
  <c r="F504" i="2" l="1"/>
  <c r="W503" i="2"/>
  <c r="U504" i="2" l="1"/>
  <c r="V504" i="2" s="1"/>
  <c r="F505" i="2" l="1"/>
  <c r="W504" i="2"/>
  <c r="U505" i="2" l="1"/>
  <c r="V505" i="2" s="1"/>
  <c r="F506" i="2" l="1"/>
  <c r="W505" i="2"/>
  <c r="U506" i="2" l="1"/>
  <c r="V506" i="2" s="1"/>
  <c r="F507" i="2" l="1"/>
  <c r="W506" i="2"/>
  <c r="U507" i="2" l="1"/>
  <c r="V507" i="2" s="1"/>
  <c r="W507" i="2" l="1"/>
  <c r="F508" i="2"/>
  <c r="U508" i="2" l="1"/>
  <c r="V508" i="2" s="1"/>
  <c r="W508" i="2" l="1"/>
  <c r="F509" i="2"/>
  <c r="U509" i="2" l="1"/>
  <c r="V509" i="2" s="1"/>
  <c r="F510" i="2" l="1"/>
  <c r="W509" i="2"/>
  <c r="U510" i="2" l="1"/>
  <c r="V510" i="2" s="1"/>
  <c r="W510" i="2" l="1"/>
  <c r="F511" i="2"/>
  <c r="U511" i="2" l="1"/>
  <c r="V511" i="2" s="1"/>
  <c r="W511" i="2" l="1"/>
  <c r="F512" i="2"/>
  <c r="U512" i="2" l="1"/>
  <c r="V512" i="2" s="1"/>
  <c r="W512" i="2" l="1"/>
  <c r="F513" i="2"/>
  <c r="U513" i="2" l="1"/>
  <c r="V513" i="2" s="1"/>
  <c r="F514" i="2" l="1"/>
  <c r="W513" i="2"/>
  <c r="U514" i="2" l="1"/>
  <c r="V514" i="2" s="1"/>
  <c r="F515" i="2" l="1"/>
  <c r="W514" i="2"/>
  <c r="U515" i="2" l="1"/>
  <c r="V515" i="2" s="1"/>
  <c r="W515" i="2" l="1"/>
  <c r="F516" i="2"/>
  <c r="U516" i="2" l="1"/>
  <c r="V516" i="2" s="1"/>
  <c r="F517" i="2" l="1"/>
  <c r="W516" i="2"/>
  <c r="U517" i="2" l="1"/>
  <c r="V517" i="2" s="1"/>
  <c r="W517" i="2" l="1"/>
  <c r="F518" i="2"/>
  <c r="U518" i="2" l="1"/>
  <c r="V518" i="2" s="1"/>
  <c r="W518" i="2" l="1"/>
  <c r="F519" i="2"/>
  <c r="U519" i="2" l="1"/>
  <c r="V519" i="2" s="1"/>
  <c r="W519" i="2" l="1"/>
  <c r="F520" i="2"/>
  <c r="U520" i="2" l="1"/>
  <c r="V520" i="2" s="1"/>
  <c r="W520" i="2" l="1"/>
  <c r="F521" i="2"/>
  <c r="U521" i="2" l="1"/>
  <c r="V521" i="2" s="1"/>
  <c r="F522" i="2" l="1"/>
  <c r="W521" i="2"/>
  <c r="U522" i="2" l="1"/>
  <c r="V522" i="2" s="1"/>
  <c r="W522" i="2" l="1"/>
  <c r="F523" i="2"/>
  <c r="U523" i="2" l="1"/>
  <c r="V523" i="2" s="1"/>
  <c r="F524" i="2" l="1"/>
  <c r="W523" i="2"/>
  <c r="U524" i="2" l="1"/>
  <c r="V524" i="2" s="1"/>
  <c r="F525" i="2" l="1"/>
  <c r="W524" i="2"/>
  <c r="U525" i="2" l="1"/>
  <c r="V525" i="2" s="1"/>
  <c r="W525" i="2" l="1"/>
  <c r="F526" i="2"/>
  <c r="U526" i="2" l="1"/>
  <c r="V526" i="2" s="1"/>
  <c r="F527" i="2" l="1"/>
  <c r="W526" i="2"/>
  <c r="U527" i="2" l="1"/>
  <c r="V527" i="2" s="1"/>
  <c r="W527" i="2" l="1"/>
  <c r="F528" i="2"/>
  <c r="U528" i="2" l="1"/>
  <c r="V528" i="2" s="1"/>
  <c r="F529" i="2" l="1"/>
  <c r="W528" i="2"/>
  <c r="U529" i="2" l="1"/>
  <c r="V529" i="2" s="1"/>
  <c r="W529" i="2" l="1"/>
  <c r="F530" i="2"/>
  <c r="U530" i="2" l="1"/>
  <c r="V530" i="2" s="1"/>
  <c r="F531" i="2" l="1"/>
  <c r="W530" i="2"/>
  <c r="U531" i="2" l="1"/>
  <c r="V531" i="2" s="1"/>
  <c r="W531" i="2" s="1"/>
  <c r="C29" i="1" l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mohr</author>
  </authors>
  <commentList>
    <comment ref="C17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Infláció feletti elvárt hozam. (A megadható érték min. 0%, max. 5%!)
</t>
        </r>
      </text>
    </comment>
  </commentList>
</comments>
</file>

<file path=xl/sharedStrings.xml><?xml version="1.0" encoding="utf-8"?>
<sst xmlns="http://schemas.openxmlformats.org/spreadsheetml/2006/main" count="47" uniqueCount="44">
  <si>
    <t>Dátum</t>
  </si>
  <si>
    <t>Kor</t>
  </si>
  <si>
    <t>Nyitó egyenleg</t>
  </si>
  <si>
    <t>Hozam (Ft)</t>
  </si>
  <si>
    <t>Hozam (%)</t>
  </si>
  <si>
    <t>Infláció</t>
  </si>
  <si>
    <t>Infláció diszkontráta</t>
  </si>
  <si>
    <t>Záró egyenleg (nominális)</t>
  </si>
  <si>
    <t>Záró egyenleg (reálérték)</t>
  </si>
  <si>
    <t>Születési dátum:</t>
  </si>
  <si>
    <t>Jelenlegi egyenleg:</t>
  </si>
  <si>
    <t>Jelenlegi dátum:</t>
  </si>
  <si>
    <t>Életkor nyugdíjbavonuláskor:</t>
  </si>
  <si>
    <t>Év</t>
  </si>
  <si>
    <t>Nyugdíjba vonulás dátuma</t>
  </si>
  <si>
    <t>Reálhozam:</t>
  </si>
  <si>
    <t>Reálhozam</t>
  </si>
  <si>
    <t>Kumulált hónap</t>
  </si>
  <si>
    <t>Záró egyenleg</t>
  </si>
  <si>
    <t>Záró egyenleg jelenértéke</t>
  </si>
  <si>
    <t>Inflációs prognózis*</t>
  </si>
  <si>
    <t>Egyéni tagdíj</t>
  </si>
  <si>
    <t>Munkáltatói tagdíj</t>
  </si>
  <si>
    <t>Kumulált tagdíjbevéte</t>
  </si>
  <si>
    <t>Számlára jóváírt tagdíjbevétel</t>
  </si>
  <si>
    <t>Adókedvezmény igénybevétele:</t>
  </si>
  <si>
    <t>igen</t>
  </si>
  <si>
    <t>nem</t>
  </si>
  <si>
    <t>Bruttó Ker. Index</t>
  </si>
  <si>
    <t>Maximális adójóváírás</t>
  </si>
  <si>
    <t>Adójóváírás</t>
  </si>
  <si>
    <t>Kumulált számlára jóváírt tagdíjbevétel</t>
  </si>
  <si>
    <t>Önkéntes nyugdíjpénztári egyéni számla kalkulátor</t>
  </si>
  <si>
    <t>Reáljövedelem prognosztizált változása</t>
  </si>
  <si>
    <t>reálhozam határok:</t>
  </si>
  <si>
    <t>Tagdíj tervezett növekedési üteme</t>
  </si>
  <si>
    <t>Záró egyenleg a 3. év végén x 30%:</t>
  </si>
  <si>
    <t>Tőke a 10. év végén:</t>
  </si>
  <si>
    <t>Hozam a 10. év végén:</t>
  </si>
  <si>
    <t>Növekvő tagdíj feltételezése:</t>
  </si>
  <si>
    <t>igen (lásd a 2. pontban)</t>
  </si>
  <si>
    <t>Munkáltatói havi tagdíj:</t>
  </si>
  <si>
    <t>Egyéni havi tagdíj:</t>
  </si>
  <si>
    <t>* Az MNB 2023. szeptemberében közölt inflációs várakozása, illetve középtávú inflációs célja alapján beállítva.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</si>
</sst>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0.0%"/>
    <numFmt numFmtId="166" formatCode="0."/>
    <numFmt numFmtId="167" formatCode="_-* #,##0\ _F_t_-;\-* #,##0\ _F_t_-;_-* &quot;-&quot;??\ _F_t_-;_-@_-"/>
    <numFmt numFmtId="168" formatCode="#,##0_ ;\-#,##0\ "/>
    <numFmt numFmtId="169" formatCode="0.000%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26"/>
      <color indexed="18"/>
      <name val="Arial"/>
      <family val="2"/>
      <charset val="238"/>
    </font>
    <font>
      <b/>
      <sz val="14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6" fontId="5" fillId="0" borderId="1" xfId="0" applyNumberFormat="1" applyFont="1" applyBorder="1" applyAlignment="1">
      <alignment horizontal="left" vertical="top"/>
    </xf>
    <xf numFmtId="10" fontId="0" fillId="0" borderId="0" xfId="0" applyNumberFormat="1"/>
    <xf numFmtId="10" fontId="0" fillId="0" borderId="0" xfId="2" applyNumberFormat="1" applyFont="1"/>
    <xf numFmtId="166" fontId="6" fillId="0" borderId="1" xfId="0" applyNumberFormat="1" applyFont="1" applyBorder="1" applyAlignment="1">
      <alignment horizontal="left" vertical="top"/>
    </xf>
    <xf numFmtId="14" fontId="0" fillId="0" borderId="0" xfId="0" applyNumberFormat="1"/>
    <xf numFmtId="2" fontId="0" fillId="0" borderId="0" xfId="0" applyNumberFormat="1"/>
    <xf numFmtId="3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4" fontId="7" fillId="0" borderId="2" xfId="0" applyNumberFormat="1" applyFont="1" applyBorder="1"/>
    <xf numFmtId="1" fontId="0" fillId="0" borderId="0" xfId="0" applyNumberFormat="1"/>
    <xf numFmtId="167" fontId="0" fillId="0" borderId="0" xfId="1" applyNumberFormat="1" applyFont="1"/>
    <xf numFmtId="168" fontId="0" fillId="0" borderId="0" xfId="0" applyNumberFormat="1"/>
    <xf numFmtId="3" fontId="7" fillId="0" borderId="3" xfId="0" applyNumberFormat="1" applyFont="1" applyBorder="1"/>
    <xf numFmtId="0" fontId="3" fillId="2" borderId="5" xfId="0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10" fontId="0" fillId="0" borderId="6" xfId="2" applyNumberFormat="1" applyFont="1" applyFill="1" applyBorder="1" applyAlignment="1">
      <alignment horizontal="center"/>
    </xf>
    <xf numFmtId="0" fontId="4" fillId="0" borderId="0" xfId="0" applyFont="1"/>
    <xf numFmtId="9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9" fontId="0" fillId="0" borderId="0" xfId="2" applyNumberFormat="1" applyFont="1"/>
    <xf numFmtId="166" fontId="5" fillId="0" borderId="0" xfId="0" applyNumberFormat="1" applyFont="1" applyAlignment="1">
      <alignment horizontal="left" vertical="top"/>
    </xf>
    <xf numFmtId="9" fontId="10" fillId="0" borderId="0" xfId="0" applyNumberFormat="1" applyFont="1"/>
    <xf numFmtId="165" fontId="3" fillId="2" borderId="0" xfId="0" applyNumberFormat="1" applyFont="1" applyFill="1" applyAlignment="1">
      <alignment horizontal="center" vertical="center" wrapText="1"/>
    </xf>
    <xf numFmtId="10" fontId="8" fillId="3" borderId="8" xfId="2" applyNumberFormat="1" applyFont="1" applyFill="1" applyBorder="1" applyAlignment="1">
      <alignment horizontal="center" vertical="center" wrapText="1"/>
    </xf>
    <xf numFmtId="10" fontId="0" fillId="0" borderId="9" xfId="2" applyNumberFormat="1" applyFont="1" applyFill="1" applyBorder="1" applyAlignment="1">
      <alignment horizontal="center"/>
    </xf>
    <xf numFmtId="10" fontId="0" fillId="0" borderId="11" xfId="2" applyNumberFormat="1" applyFont="1" applyFill="1" applyBorder="1" applyAlignment="1">
      <alignment horizontal="center"/>
    </xf>
    <xf numFmtId="9" fontId="0" fillId="0" borderId="0" xfId="0" applyNumberFormat="1"/>
    <xf numFmtId="3" fontId="10" fillId="0" borderId="0" xfId="0" applyNumberFormat="1" applyFont="1"/>
    <xf numFmtId="0" fontId="4" fillId="4" borderId="5" xfId="0" applyFont="1" applyFill="1" applyBorder="1" applyAlignment="1">
      <alignment vertical="center" wrapText="1"/>
    </xf>
    <xf numFmtId="3" fontId="7" fillId="0" borderId="3" xfId="0" applyNumberFormat="1" applyFont="1" applyBorder="1" applyAlignment="1">
      <alignment vertical="center"/>
    </xf>
    <xf numFmtId="10" fontId="3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0" fontId="4" fillId="0" borderId="0" xfId="0" applyNumberFormat="1" applyFont="1" applyAlignment="1">
      <alignment horizontal="right"/>
    </xf>
    <xf numFmtId="0" fontId="10" fillId="0" borderId="0" xfId="0" applyFont="1"/>
    <xf numFmtId="14" fontId="4" fillId="0" borderId="2" xfId="0" applyNumberFormat="1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10" fontId="4" fillId="0" borderId="3" xfId="0" applyNumberFormat="1" applyFont="1" applyBorder="1" applyAlignment="1" applyProtection="1">
      <alignment horizontal="right"/>
      <protection locked="0"/>
    </xf>
    <xf numFmtId="165" fontId="4" fillId="0" borderId="5" xfId="2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horizontal="center" vertical="center" wrapText="1"/>
    </xf>
    <xf numFmtId="10" fontId="1" fillId="0" borderId="8" xfId="2" applyNumberFormat="1" applyFont="1" applyFill="1" applyBorder="1" applyAlignment="1">
      <alignment horizontal="center" vertical="center" wrapText="1"/>
    </xf>
    <xf numFmtId="10" fontId="1" fillId="0" borderId="0" xfId="2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0" fontId="1" fillId="0" borderId="10" xfId="2" applyNumberFormat="1" applyFont="1" applyFill="1" applyBorder="1" applyAlignment="1">
      <alignment horizontal="center" vertical="center" wrapText="1"/>
    </xf>
    <xf numFmtId="10" fontId="8" fillId="3" borderId="13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5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85725</xdr:rowOff>
    </xdr:from>
    <xdr:to>
      <xdr:col>3</xdr:col>
      <xdr:colOff>0</xdr:colOff>
      <xdr:row>9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57175" y="638175"/>
          <a:ext cx="3381375" cy="89535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1.</a:t>
          </a:r>
          <a:r>
            <a:rPr lang="hu-HU" sz="1400" b="1" i="0" u="none" strike="noStrike" baseline="0">
              <a:solidFill>
                <a:srgbClr val="99CCFF"/>
              </a:solidFill>
              <a:latin typeface="Arial"/>
              <a:cs typeface="Arial"/>
            </a:rPr>
            <a:t>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felhalmozott önkéntes nyugdíjpénztári megtakarítás záró értékének megállapításához  kérjük,  adja meg az alábbi adatokat (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kötelező kitölteni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):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9525</xdr:colOff>
      <xdr:row>3</xdr:row>
      <xdr:rowOff>85724</xdr:rowOff>
    </xdr:from>
    <xdr:to>
      <xdr:col>9</xdr:col>
      <xdr:colOff>0</xdr:colOff>
      <xdr:row>8</xdr:row>
      <xdr:rowOff>161924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000500" y="638174"/>
          <a:ext cx="4067175" cy="885825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2.</a:t>
          </a:r>
          <a:r>
            <a:rPr lang="hu-HU" sz="1400" b="0" i="0" u="none" strike="noStrike" baseline="0">
              <a:solidFill>
                <a:srgbClr val="000080"/>
              </a:solidFill>
              <a:latin typeface="Arial"/>
              <a:cs typeface="Arial"/>
            </a:rPr>
            <a:t>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alábbi adatok megadása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opcionális,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segítségükkel a felhalmozás záró értéke pontosítható. A szürke cellák irányadó értékek, amelyek kiindulópontot jelenthetnek a további - fehér alapú - mező kitöltéséhez/átírásához. A modell az eredmények meghatározásánál kizárólag a fehér cellákban található értékekeket használja fel.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0</xdr:colOff>
      <xdr:row>26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7650" y="3362325"/>
          <a:ext cx="3390900" cy="91440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3.</a:t>
          </a:r>
          <a:r>
            <a:rPr lang="hu-H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alábbi mezők a számítás eredményét tartalmazzák, azaz a születési dátum és a nyugdíjbavonulási életkor által meghatározott nyugdíjazási dátumot, valamint a megtakarítás forintban kifejezett nominális értékét, illetve annak az infláció hatását kiküszöbölő reálértékét.</a:t>
          </a:r>
        </a:p>
      </xdr:txBody>
    </xdr:sp>
    <xdr:clientData/>
  </xdr:twoCellAnchor>
  <xdr:twoCellAnchor>
    <xdr:from>
      <xdr:col>7</xdr:col>
      <xdr:colOff>847725</xdr:colOff>
      <xdr:row>0</xdr:row>
      <xdr:rowOff>43627</xdr:rowOff>
    </xdr:from>
    <xdr:to>
      <xdr:col>8</xdr:col>
      <xdr:colOff>990600</xdr:colOff>
      <xdr:row>2</xdr:row>
      <xdr:rowOff>160125</xdr:rowOff>
    </xdr:to>
    <xdr:pic>
      <xdr:nvPicPr>
        <xdr:cNvPr id="1366" name="Picture 12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67964" y="43627"/>
          <a:ext cx="1161636" cy="51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IU78"/>
  <sheetViews>
    <sheetView showGridLines="0" tabSelected="1" zoomScale="115" zoomScaleNormal="115" workbookViewId="0">
      <selection activeCell="C32" sqref="C32"/>
    </sheetView>
  </sheetViews>
  <sheetFormatPr defaultColWidth="0" defaultRowHeight="12.75" x14ac:dyDescent="0.2"/>
  <cols>
    <col min="1" max="1" width="3.7109375" customWidth="1"/>
    <col min="2" max="2" width="30.85546875" customWidth="1"/>
    <col min="3" max="3" width="22.85546875" customWidth="1"/>
    <col min="4" max="4" width="5.28515625" customWidth="1"/>
    <col min="5" max="6" width="15.28515625" customWidth="1"/>
    <col min="7" max="7" width="15.28515625" hidden="1" customWidth="1"/>
    <col min="8" max="9" width="15.28515625" customWidth="1"/>
    <col min="10" max="10" width="4.5703125" customWidth="1"/>
    <col min="11" max="254" width="9.140625" customWidth="1"/>
    <col min="255" max="255" width="17" customWidth="1"/>
    <col min="256" max="16384" width="9.140625" hidden="1"/>
  </cols>
  <sheetData>
    <row r="1" spans="2:255" x14ac:dyDescent="0.2">
      <c r="IU1" t="s">
        <v>34</v>
      </c>
    </row>
    <row r="2" spans="2:255" ht="18" x14ac:dyDescent="0.2">
      <c r="B2" s="5" t="s">
        <v>32</v>
      </c>
      <c r="IU2" s="29">
        <v>0</v>
      </c>
    </row>
    <row r="3" spans="2:255" x14ac:dyDescent="0.2">
      <c r="IU3" s="29">
        <v>0.05</v>
      </c>
    </row>
    <row r="5" spans="2:255" x14ac:dyDescent="0.2">
      <c r="IU5" s="34" t="s">
        <v>25</v>
      </c>
    </row>
    <row r="6" spans="2:255" x14ac:dyDescent="0.2">
      <c r="IU6" s="35" t="s">
        <v>26</v>
      </c>
    </row>
    <row r="8" spans="2:255" ht="12.75" customHeight="1" x14ac:dyDescent="0.2">
      <c r="B8" s="2"/>
      <c r="E8" s="2"/>
    </row>
    <row r="9" spans="2:255" ht="12.75" customHeight="1" x14ac:dyDescent="0.2">
      <c r="B9" s="23"/>
      <c r="E9" s="23"/>
    </row>
    <row r="10" spans="2:255" ht="12.75" customHeight="1" x14ac:dyDescent="0.2">
      <c r="B10" s="9" t="s">
        <v>9</v>
      </c>
      <c r="C10" s="37">
        <v>29727</v>
      </c>
      <c r="E10" s="51" t="s">
        <v>13</v>
      </c>
      <c r="F10" s="57" t="s">
        <v>20</v>
      </c>
      <c r="G10" s="57" t="s">
        <v>33</v>
      </c>
      <c r="H10" s="57" t="s">
        <v>35</v>
      </c>
      <c r="I10" s="54" t="s">
        <v>16</v>
      </c>
    </row>
    <row r="11" spans="2:255" x14ac:dyDescent="0.2">
      <c r="B11" s="10" t="s">
        <v>10</v>
      </c>
      <c r="C11" s="38">
        <v>92430</v>
      </c>
      <c r="E11" s="52"/>
      <c r="F11" s="58"/>
      <c r="G11" s="58"/>
      <c r="H11" s="58"/>
      <c r="I11" s="55"/>
    </row>
    <row r="12" spans="2:255" ht="12.75" customHeight="1" x14ac:dyDescent="0.2">
      <c r="B12" s="10" t="s">
        <v>11</v>
      </c>
      <c r="C12" s="39">
        <f ca="1">+TODAY()</f>
        <v>45626</v>
      </c>
      <c r="E12" s="52"/>
      <c r="F12" s="58"/>
      <c r="G12" s="58"/>
      <c r="H12" s="58"/>
      <c r="I12" s="55"/>
    </row>
    <row r="13" spans="2:255" x14ac:dyDescent="0.2">
      <c r="B13" s="10" t="s">
        <v>12</v>
      </c>
      <c r="C13" s="40">
        <v>65</v>
      </c>
      <c r="E13" s="52"/>
      <c r="F13" s="58"/>
      <c r="G13" s="58"/>
      <c r="H13" s="58"/>
      <c r="I13" s="55"/>
    </row>
    <row r="14" spans="2:255" x14ac:dyDescent="0.2">
      <c r="B14" s="10" t="s">
        <v>42</v>
      </c>
      <c r="C14" s="38">
        <v>30000</v>
      </c>
      <c r="E14" s="53"/>
      <c r="F14" s="59"/>
      <c r="G14" s="59"/>
      <c r="H14" s="59"/>
      <c r="I14" s="56"/>
    </row>
    <row r="15" spans="2:255" x14ac:dyDescent="0.2">
      <c r="B15" s="10" t="s">
        <v>41</v>
      </c>
      <c r="C15" s="38">
        <v>10000</v>
      </c>
      <c r="D15" s="30">
        <f>+C14+C15</f>
        <v>40000</v>
      </c>
      <c r="E15" s="43">
        <v>2023</v>
      </c>
      <c r="F15" s="44">
        <v>0.09</v>
      </c>
      <c r="G15" s="26">
        <v>0</v>
      </c>
      <c r="H15" s="45">
        <f>IF($C$16="nem",0,F15)</f>
        <v>0.09</v>
      </c>
      <c r="I15" s="27">
        <f>C17</f>
        <v>0.02</v>
      </c>
      <c r="M15" s="6"/>
    </row>
    <row r="16" spans="2:255" x14ac:dyDescent="0.2">
      <c r="B16" s="10" t="s">
        <v>39</v>
      </c>
      <c r="C16" s="41" t="s">
        <v>40</v>
      </c>
      <c r="E16" s="43">
        <v>2024</v>
      </c>
      <c r="F16" s="45">
        <v>0.05</v>
      </c>
      <c r="G16" s="26">
        <v>0</v>
      </c>
      <c r="H16" s="45">
        <f t="shared" ref="H16:H75" si="0">IF($C$16="nem",0,F16)</f>
        <v>0.05</v>
      </c>
      <c r="I16" s="18">
        <f>I15</f>
        <v>0.02</v>
      </c>
    </row>
    <row r="17" spans="2:9" x14ac:dyDescent="0.2">
      <c r="B17" s="10" t="s">
        <v>15</v>
      </c>
      <c r="C17" s="42">
        <v>0.02</v>
      </c>
      <c r="E17" s="43">
        <v>2025</v>
      </c>
      <c r="F17" s="45">
        <v>0.03</v>
      </c>
      <c r="G17" s="26">
        <v>0</v>
      </c>
      <c r="H17" s="45">
        <f t="shared" si="0"/>
        <v>0.03</v>
      </c>
      <c r="I17" s="18">
        <f t="shared" ref="I17:I75" si="1">I16</f>
        <v>0.02</v>
      </c>
    </row>
    <row r="18" spans="2:9" x14ac:dyDescent="0.2">
      <c r="E18" s="43">
        <v>2026</v>
      </c>
      <c r="F18" s="45">
        <v>0.03</v>
      </c>
      <c r="G18" s="26">
        <v>0</v>
      </c>
      <c r="H18" s="45">
        <f t="shared" si="0"/>
        <v>0.03</v>
      </c>
      <c r="I18" s="18">
        <f t="shared" si="1"/>
        <v>0.02</v>
      </c>
    </row>
    <row r="19" spans="2:9" x14ac:dyDescent="0.2">
      <c r="B19" s="21"/>
      <c r="E19" s="43">
        <v>2027</v>
      </c>
      <c r="F19" s="45">
        <v>0.03</v>
      </c>
      <c r="G19" s="26">
        <v>0</v>
      </c>
      <c r="H19" s="45">
        <f t="shared" si="0"/>
        <v>0.03</v>
      </c>
      <c r="I19" s="18">
        <f t="shared" si="1"/>
        <v>0.02</v>
      </c>
    </row>
    <row r="20" spans="2:9" x14ac:dyDescent="0.2">
      <c r="B20" s="19"/>
      <c r="E20" s="43">
        <v>2028</v>
      </c>
      <c r="F20" s="45">
        <v>0.03</v>
      </c>
      <c r="G20" s="26">
        <v>0</v>
      </c>
      <c r="H20" s="45">
        <f t="shared" si="0"/>
        <v>0.03</v>
      </c>
      <c r="I20" s="18">
        <f t="shared" si="1"/>
        <v>0.02</v>
      </c>
    </row>
    <row r="21" spans="2:9" x14ac:dyDescent="0.2">
      <c r="E21" s="43">
        <v>2029</v>
      </c>
      <c r="F21" s="45">
        <v>0.03</v>
      </c>
      <c r="G21" s="26">
        <v>0</v>
      </c>
      <c r="H21" s="45">
        <f t="shared" si="0"/>
        <v>0.03</v>
      </c>
      <c r="I21" s="18">
        <f t="shared" si="1"/>
        <v>0.02</v>
      </c>
    </row>
    <row r="22" spans="2:9" x14ac:dyDescent="0.2">
      <c r="B22" s="50"/>
      <c r="E22" s="43">
        <v>2030</v>
      </c>
      <c r="F22" s="45">
        <v>0.03</v>
      </c>
      <c r="G22" s="26">
        <v>0</v>
      </c>
      <c r="H22" s="45">
        <f t="shared" si="0"/>
        <v>0.03</v>
      </c>
      <c r="I22" s="18">
        <f t="shared" si="1"/>
        <v>0.02</v>
      </c>
    </row>
    <row r="23" spans="2:9" x14ac:dyDescent="0.2">
      <c r="B23" s="50"/>
      <c r="E23" s="43">
        <v>2031</v>
      </c>
      <c r="F23" s="45">
        <v>0.03</v>
      </c>
      <c r="G23" s="26">
        <v>0</v>
      </c>
      <c r="H23" s="45">
        <f t="shared" si="0"/>
        <v>0.03</v>
      </c>
      <c r="I23" s="18">
        <f t="shared" si="1"/>
        <v>0.02</v>
      </c>
    </row>
    <row r="24" spans="2:9" x14ac:dyDescent="0.2">
      <c r="B24" s="50"/>
      <c r="E24" s="43">
        <v>2032</v>
      </c>
      <c r="F24" s="45">
        <v>0.03</v>
      </c>
      <c r="G24" s="26">
        <v>0</v>
      </c>
      <c r="H24" s="45">
        <f t="shared" si="0"/>
        <v>0.03</v>
      </c>
      <c r="I24" s="18">
        <f t="shared" si="1"/>
        <v>0.02</v>
      </c>
    </row>
    <row r="25" spans="2:9" x14ac:dyDescent="0.2">
      <c r="B25" s="50"/>
      <c r="E25" s="43">
        <v>2033</v>
      </c>
      <c r="F25" s="45">
        <v>0.03</v>
      </c>
      <c r="G25" s="26">
        <v>0</v>
      </c>
      <c r="H25" s="45">
        <f t="shared" si="0"/>
        <v>0.03</v>
      </c>
      <c r="I25" s="18">
        <f t="shared" si="1"/>
        <v>0.02</v>
      </c>
    </row>
    <row r="26" spans="2:9" x14ac:dyDescent="0.2">
      <c r="B26" s="50"/>
      <c r="E26" s="43">
        <v>2034</v>
      </c>
      <c r="F26" s="45">
        <v>0.03</v>
      </c>
      <c r="G26" s="26">
        <v>0</v>
      </c>
      <c r="H26" s="45">
        <f t="shared" si="0"/>
        <v>0.03</v>
      </c>
      <c r="I26" s="18">
        <f t="shared" si="1"/>
        <v>0.02</v>
      </c>
    </row>
    <row r="27" spans="2:9" x14ac:dyDescent="0.2">
      <c r="B27" s="9" t="s">
        <v>14</v>
      </c>
      <c r="C27" s="11">
        <f>DATE(YEAR(C10)+C13,MONTH(C10)+1,1)</f>
        <v>53479</v>
      </c>
      <c r="E27" s="43">
        <v>2035</v>
      </c>
      <c r="F27" s="45">
        <v>0.03</v>
      </c>
      <c r="G27" s="26">
        <v>0</v>
      </c>
      <c r="H27" s="45">
        <f t="shared" si="0"/>
        <v>0.03</v>
      </c>
      <c r="I27" s="18">
        <f t="shared" si="1"/>
        <v>0.02</v>
      </c>
    </row>
    <row r="28" spans="2:9" x14ac:dyDescent="0.2">
      <c r="B28" s="10" t="s">
        <v>18</v>
      </c>
      <c r="C28" s="15">
        <f ca="1">VLOOKUP(DATE(YEAR($C$27),MONTH($C$27)-1,DAY(1)),CF!$A$2:$W$531,22,FALSE)</f>
        <v>28329584.674781062</v>
      </c>
      <c r="E28" s="43">
        <v>2036</v>
      </c>
      <c r="F28" s="45">
        <v>0.03</v>
      </c>
      <c r="G28" s="26">
        <v>0</v>
      </c>
      <c r="H28" s="45">
        <f t="shared" si="0"/>
        <v>0.03</v>
      </c>
      <c r="I28" s="18">
        <f t="shared" si="1"/>
        <v>0.02</v>
      </c>
    </row>
    <row r="29" spans="2:9" ht="12.75" customHeight="1" x14ac:dyDescent="0.2">
      <c r="B29" s="16" t="s">
        <v>19</v>
      </c>
      <c r="C29" s="17">
        <f ca="1">VLOOKUP(DATE(YEAR($C$27),MONTH($C$27)-1,DAY(1)),CF!$A$2:$W$531,23,FALSE)</f>
        <v>15018053.218304191</v>
      </c>
      <c r="E29" s="43">
        <v>2037</v>
      </c>
      <c r="F29" s="45">
        <v>0.03</v>
      </c>
      <c r="G29" s="26">
        <v>0</v>
      </c>
      <c r="H29" s="45">
        <f t="shared" si="0"/>
        <v>0.03</v>
      </c>
      <c r="I29" s="18">
        <f t="shared" si="1"/>
        <v>0.02</v>
      </c>
    </row>
    <row r="30" spans="2:9" ht="12.75" customHeight="1" x14ac:dyDescent="0.2">
      <c r="B30" s="31" t="s">
        <v>36</v>
      </c>
      <c r="C30" s="32">
        <f ca="1">+CF!$V$37*30%</f>
        <v>593632.42282520107</v>
      </c>
      <c r="E30" s="43">
        <v>2038</v>
      </c>
      <c r="F30" s="45">
        <v>0.03</v>
      </c>
      <c r="G30" s="26">
        <v>0</v>
      </c>
      <c r="H30" s="45">
        <f t="shared" si="0"/>
        <v>0.03</v>
      </c>
      <c r="I30" s="18">
        <f t="shared" si="1"/>
        <v>0.02</v>
      </c>
    </row>
    <row r="31" spans="2:9" ht="12.75" customHeight="1" x14ac:dyDescent="0.2">
      <c r="B31" s="31" t="s">
        <v>37</v>
      </c>
      <c r="C31" s="32">
        <f ca="1">+CF!$V$121-C32</f>
        <v>6553035.9847902041</v>
      </c>
      <c r="E31" s="43">
        <v>2039</v>
      </c>
      <c r="F31" s="45">
        <v>0.03</v>
      </c>
      <c r="G31" s="26">
        <v>0</v>
      </c>
      <c r="H31" s="45">
        <f t="shared" si="0"/>
        <v>0.03</v>
      </c>
      <c r="I31" s="18">
        <f t="shared" si="1"/>
        <v>0.02</v>
      </c>
    </row>
    <row r="32" spans="2:9" ht="12.75" customHeight="1" x14ac:dyDescent="0.2">
      <c r="B32" s="31" t="s">
        <v>38</v>
      </c>
      <c r="C32" s="17">
        <f ca="1">+SUM(CF!$U$2:$U$121)</f>
        <v>1842730.6135126206</v>
      </c>
      <c r="E32" s="43">
        <v>2040</v>
      </c>
      <c r="F32" s="45">
        <v>0.03</v>
      </c>
      <c r="G32" s="26">
        <v>0</v>
      </c>
      <c r="H32" s="45">
        <f t="shared" si="0"/>
        <v>0.03</v>
      </c>
      <c r="I32" s="18">
        <f t="shared" si="1"/>
        <v>0.02</v>
      </c>
    </row>
    <row r="33" spans="2:9" x14ac:dyDescent="0.2">
      <c r="E33" s="43">
        <v>2041</v>
      </c>
      <c r="F33" s="45">
        <v>0.03</v>
      </c>
      <c r="G33" s="26">
        <v>0</v>
      </c>
      <c r="H33" s="45">
        <f t="shared" si="0"/>
        <v>0.03</v>
      </c>
      <c r="I33" s="18">
        <f t="shared" si="1"/>
        <v>0.02</v>
      </c>
    </row>
    <row r="34" spans="2:9" x14ac:dyDescent="0.2">
      <c r="E34" s="43">
        <v>2042</v>
      </c>
      <c r="F34" s="45">
        <v>0.03</v>
      </c>
      <c r="G34" s="26">
        <v>0</v>
      </c>
      <c r="H34" s="45">
        <f t="shared" si="0"/>
        <v>0.03</v>
      </c>
      <c r="I34" s="18">
        <f t="shared" si="1"/>
        <v>0.02</v>
      </c>
    </row>
    <row r="35" spans="2:9" x14ac:dyDescent="0.2">
      <c r="E35" s="43">
        <v>2043</v>
      </c>
      <c r="F35" s="45">
        <v>0.03</v>
      </c>
      <c r="G35" s="26">
        <v>0</v>
      </c>
      <c r="H35" s="45">
        <f t="shared" si="0"/>
        <v>0.03</v>
      </c>
      <c r="I35" s="18">
        <f t="shared" si="1"/>
        <v>0.02</v>
      </c>
    </row>
    <row r="36" spans="2:9" x14ac:dyDescent="0.2">
      <c r="E36" s="43">
        <v>2044</v>
      </c>
      <c r="F36" s="45">
        <v>0.03</v>
      </c>
      <c r="G36" s="26">
        <v>0</v>
      </c>
      <c r="H36" s="45">
        <f t="shared" si="0"/>
        <v>0.03</v>
      </c>
      <c r="I36" s="18">
        <f t="shared" si="1"/>
        <v>0.02</v>
      </c>
    </row>
    <row r="37" spans="2:9" x14ac:dyDescent="0.2">
      <c r="B37" s="19"/>
      <c r="C37" s="19"/>
      <c r="E37" s="43">
        <v>2045</v>
      </c>
      <c r="F37" s="45">
        <v>0.03</v>
      </c>
      <c r="G37" s="26">
        <v>0</v>
      </c>
      <c r="H37" s="45">
        <f t="shared" si="0"/>
        <v>0.03</v>
      </c>
      <c r="I37" s="18">
        <f t="shared" si="1"/>
        <v>0.02</v>
      </c>
    </row>
    <row r="38" spans="2:9" x14ac:dyDescent="0.2">
      <c r="B38" s="19"/>
      <c r="C38" s="19"/>
      <c r="E38" s="43">
        <v>2046</v>
      </c>
      <c r="F38" s="45">
        <v>0.03</v>
      </c>
      <c r="G38" s="26">
        <v>0</v>
      </c>
      <c r="H38" s="45">
        <f t="shared" si="0"/>
        <v>0.03</v>
      </c>
      <c r="I38" s="18">
        <f t="shared" si="1"/>
        <v>0.02</v>
      </c>
    </row>
    <row r="39" spans="2:9" x14ac:dyDescent="0.2">
      <c r="B39" s="24" t="s">
        <v>26</v>
      </c>
      <c r="C39" s="24">
        <v>0.01</v>
      </c>
      <c r="E39" s="43">
        <v>2047</v>
      </c>
      <c r="F39" s="45">
        <v>0.03</v>
      </c>
      <c r="G39" s="26">
        <v>0</v>
      </c>
      <c r="H39" s="45">
        <f t="shared" si="0"/>
        <v>0.03</v>
      </c>
      <c r="I39" s="18">
        <f t="shared" si="1"/>
        <v>0.02</v>
      </c>
    </row>
    <row r="40" spans="2:9" x14ac:dyDescent="0.2">
      <c r="B40" s="24" t="s">
        <v>27</v>
      </c>
      <c r="C40" s="24">
        <v>0.02</v>
      </c>
      <c r="E40" s="43">
        <v>2048</v>
      </c>
      <c r="F40" s="45">
        <v>0.03</v>
      </c>
      <c r="G40" s="26">
        <v>0</v>
      </c>
      <c r="H40" s="45">
        <f t="shared" si="0"/>
        <v>0.03</v>
      </c>
      <c r="I40" s="18">
        <f t="shared" si="1"/>
        <v>0.02</v>
      </c>
    </row>
    <row r="41" spans="2:9" x14ac:dyDescent="0.2">
      <c r="B41" s="24"/>
      <c r="C41" s="24">
        <v>0.03</v>
      </c>
      <c r="E41" s="43">
        <v>2049</v>
      </c>
      <c r="F41" s="45">
        <v>0.03</v>
      </c>
      <c r="G41" s="26">
        <v>0</v>
      </c>
      <c r="H41" s="45">
        <f t="shared" si="0"/>
        <v>0.03</v>
      </c>
      <c r="I41" s="18">
        <f t="shared" si="1"/>
        <v>0.02</v>
      </c>
    </row>
    <row r="42" spans="2:9" x14ac:dyDescent="0.2">
      <c r="B42" s="36"/>
      <c r="C42" s="36"/>
      <c r="E42" s="43">
        <v>2050</v>
      </c>
      <c r="F42" s="45">
        <v>0.03</v>
      </c>
      <c r="G42" s="26">
        <v>0</v>
      </c>
      <c r="H42" s="45">
        <f t="shared" si="0"/>
        <v>0.03</v>
      </c>
      <c r="I42" s="18">
        <f t="shared" si="1"/>
        <v>0.02</v>
      </c>
    </row>
    <row r="43" spans="2:9" x14ac:dyDescent="0.2">
      <c r="B43" s="24" t="s">
        <v>40</v>
      </c>
      <c r="C43" s="36"/>
      <c r="E43" s="43">
        <v>2051</v>
      </c>
      <c r="F43" s="45">
        <v>0.03</v>
      </c>
      <c r="G43" s="26">
        <v>0</v>
      </c>
      <c r="H43" s="45">
        <f t="shared" si="0"/>
        <v>0.03</v>
      </c>
      <c r="I43" s="18">
        <f t="shared" si="1"/>
        <v>0.02</v>
      </c>
    </row>
    <row r="44" spans="2:9" x14ac:dyDescent="0.2">
      <c r="B44" s="24" t="s">
        <v>27</v>
      </c>
      <c r="C44" s="36"/>
      <c r="E44" s="43">
        <v>2052</v>
      </c>
      <c r="F44" s="45">
        <v>0.03</v>
      </c>
      <c r="G44" s="26">
        <v>0</v>
      </c>
      <c r="H44" s="45">
        <f t="shared" si="0"/>
        <v>0.03</v>
      </c>
      <c r="I44" s="18">
        <f t="shared" si="1"/>
        <v>0.02</v>
      </c>
    </row>
    <row r="45" spans="2:9" x14ac:dyDescent="0.2">
      <c r="B45" s="19"/>
      <c r="C45" s="19"/>
      <c r="E45" s="43">
        <v>2053</v>
      </c>
      <c r="F45" s="45">
        <v>0.03</v>
      </c>
      <c r="G45" s="26">
        <v>0</v>
      </c>
      <c r="H45" s="45">
        <f t="shared" si="0"/>
        <v>0.03</v>
      </c>
      <c r="I45" s="18">
        <f t="shared" si="1"/>
        <v>0.02</v>
      </c>
    </row>
    <row r="46" spans="2:9" x14ac:dyDescent="0.2">
      <c r="B46" s="19"/>
      <c r="C46" s="19"/>
      <c r="E46" s="43">
        <v>2054</v>
      </c>
      <c r="F46" s="45">
        <v>0.03</v>
      </c>
      <c r="G46" s="26">
        <v>0</v>
      </c>
      <c r="H46" s="45">
        <f t="shared" si="0"/>
        <v>0.03</v>
      </c>
      <c r="I46" s="18">
        <f t="shared" si="1"/>
        <v>0.02</v>
      </c>
    </row>
    <row r="47" spans="2:9" x14ac:dyDescent="0.2">
      <c r="B47" s="19"/>
      <c r="C47" s="19"/>
      <c r="E47" s="43">
        <v>2055</v>
      </c>
      <c r="F47" s="45">
        <v>0.03</v>
      </c>
      <c r="G47" s="26">
        <v>0</v>
      </c>
      <c r="H47" s="45">
        <f t="shared" si="0"/>
        <v>0.03</v>
      </c>
      <c r="I47" s="18">
        <f t="shared" si="1"/>
        <v>0.02</v>
      </c>
    </row>
    <row r="48" spans="2:9" x14ac:dyDescent="0.2">
      <c r="B48" s="19"/>
      <c r="C48" s="19"/>
      <c r="E48" s="43">
        <v>2056</v>
      </c>
      <c r="F48" s="45">
        <v>0.03</v>
      </c>
      <c r="G48" s="26">
        <v>0</v>
      </c>
      <c r="H48" s="45">
        <f t="shared" si="0"/>
        <v>0.03</v>
      </c>
      <c r="I48" s="18">
        <f t="shared" si="1"/>
        <v>0.02</v>
      </c>
    </row>
    <row r="49" spans="2:9" x14ac:dyDescent="0.2">
      <c r="B49" s="19"/>
      <c r="C49" s="19"/>
      <c r="E49" s="43">
        <v>2057</v>
      </c>
      <c r="F49" s="45">
        <v>0.03</v>
      </c>
      <c r="G49" s="26">
        <v>0</v>
      </c>
      <c r="H49" s="45">
        <f t="shared" si="0"/>
        <v>0.03</v>
      </c>
      <c r="I49" s="18">
        <f t="shared" si="1"/>
        <v>0.02</v>
      </c>
    </row>
    <row r="50" spans="2:9" x14ac:dyDescent="0.2">
      <c r="E50" s="43">
        <v>2058</v>
      </c>
      <c r="F50" s="45">
        <v>0.03</v>
      </c>
      <c r="G50" s="26">
        <v>0</v>
      </c>
      <c r="H50" s="45">
        <f t="shared" si="0"/>
        <v>0.03</v>
      </c>
      <c r="I50" s="18">
        <f t="shared" si="1"/>
        <v>0.02</v>
      </c>
    </row>
    <row r="51" spans="2:9" x14ac:dyDescent="0.2">
      <c r="E51" s="43">
        <v>2059</v>
      </c>
      <c r="F51" s="45">
        <v>0.03</v>
      </c>
      <c r="G51" s="26">
        <v>0</v>
      </c>
      <c r="H51" s="45">
        <f t="shared" si="0"/>
        <v>0.03</v>
      </c>
      <c r="I51" s="18">
        <f t="shared" si="1"/>
        <v>0.02</v>
      </c>
    </row>
    <row r="52" spans="2:9" x14ac:dyDescent="0.2">
      <c r="E52" s="43">
        <v>2060</v>
      </c>
      <c r="F52" s="45">
        <v>0.03</v>
      </c>
      <c r="G52" s="26">
        <v>0</v>
      </c>
      <c r="H52" s="45">
        <f t="shared" si="0"/>
        <v>0.03</v>
      </c>
      <c r="I52" s="18">
        <f t="shared" si="1"/>
        <v>0.02</v>
      </c>
    </row>
    <row r="53" spans="2:9" x14ac:dyDescent="0.2">
      <c r="E53" s="43">
        <v>2061</v>
      </c>
      <c r="F53" s="45">
        <v>0.03</v>
      </c>
      <c r="G53" s="26">
        <v>0</v>
      </c>
      <c r="H53" s="45">
        <f t="shared" si="0"/>
        <v>0.03</v>
      </c>
      <c r="I53" s="18">
        <f t="shared" si="1"/>
        <v>0.02</v>
      </c>
    </row>
    <row r="54" spans="2:9" x14ac:dyDescent="0.2">
      <c r="E54" s="43">
        <v>2062</v>
      </c>
      <c r="F54" s="45">
        <v>0.03</v>
      </c>
      <c r="G54" s="26">
        <v>0</v>
      </c>
      <c r="H54" s="45">
        <f t="shared" si="0"/>
        <v>0.03</v>
      </c>
      <c r="I54" s="18">
        <f t="shared" si="1"/>
        <v>0.02</v>
      </c>
    </row>
    <row r="55" spans="2:9" x14ac:dyDescent="0.2">
      <c r="E55" s="43">
        <v>2063</v>
      </c>
      <c r="F55" s="45">
        <v>0.03</v>
      </c>
      <c r="G55" s="26">
        <v>0</v>
      </c>
      <c r="H55" s="45">
        <f t="shared" si="0"/>
        <v>0.03</v>
      </c>
      <c r="I55" s="18">
        <f t="shared" si="1"/>
        <v>0.02</v>
      </c>
    </row>
    <row r="56" spans="2:9" x14ac:dyDescent="0.2">
      <c r="E56" s="43">
        <v>2064</v>
      </c>
      <c r="F56" s="45">
        <v>0.03</v>
      </c>
      <c r="G56" s="26">
        <v>0</v>
      </c>
      <c r="H56" s="45">
        <f t="shared" si="0"/>
        <v>0.03</v>
      </c>
      <c r="I56" s="18">
        <f t="shared" si="1"/>
        <v>0.02</v>
      </c>
    </row>
    <row r="57" spans="2:9" x14ac:dyDescent="0.2">
      <c r="E57" s="43">
        <v>2065</v>
      </c>
      <c r="F57" s="45">
        <v>0.03</v>
      </c>
      <c r="G57" s="26">
        <v>0</v>
      </c>
      <c r="H57" s="45">
        <f t="shared" si="0"/>
        <v>0.03</v>
      </c>
      <c r="I57" s="18">
        <f t="shared" si="1"/>
        <v>0.02</v>
      </c>
    </row>
    <row r="58" spans="2:9" x14ac:dyDescent="0.2">
      <c r="E58" s="43">
        <v>2066</v>
      </c>
      <c r="F58" s="45">
        <v>0.03</v>
      </c>
      <c r="G58" s="26">
        <v>0</v>
      </c>
      <c r="H58" s="45">
        <f t="shared" si="0"/>
        <v>0.03</v>
      </c>
      <c r="I58" s="18">
        <f t="shared" si="1"/>
        <v>0.02</v>
      </c>
    </row>
    <row r="59" spans="2:9" x14ac:dyDescent="0.2">
      <c r="E59" s="43">
        <v>2067</v>
      </c>
      <c r="F59" s="45">
        <v>0.03</v>
      </c>
      <c r="G59" s="26">
        <v>0</v>
      </c>
      <c r="H59" s="45">
        <f t="shared" si="0"/>
        <v>0.03</v>
      </c>
      <c r="I59" s="18">
        <f t="shared" si="1"/>
        <v>0.02</v>
      </c>
    </row>
    <row r="60" spans="2:9" x14ac:dyDescent="0.2">
      <c r="E60" s="43">
        <v>2068</v>
      </c>
      <c r="F60" s="45">
        <v>0.03</v>
      </c>
      <c r="G60" s="26">
        <v>0</v>
      </c>
      <c r="H60" s="45">
        <f t="shared" si="0"/>
        <v>0.03</v>
      </c>
      <c r="I60" s="18">
        <f t="shared" si="1"/>
        <v>0.02</v>
      </c>
    </row>
    <row r="61" spans="2:9" x14ac:dyDescent="0.2">
      <c r="E61" s="43">
        <v>2069</v>
      </c>
      <c r="F61" s="45">
        <v>0.03</v>
      </c>
      <c r="G61" s="26">
        <v>0</v>
      </c>
      <c r="H61" s="45">
        <f t="shared" si="0"/>
        <v>0.03</v>
      </c>
      <c r="I61" s="18">
        <f t="shared" si="1"/>
        <v>0.02</v>
      </c>
    </row>
    <row r="62" spans="2:9" x14ac:dyDescent="0.2">
      <c r="E62" s="43">
        <v>2070</v>
      </c>
      <c r="F62" s="45">
        <v>0.03</v>
      </c>
      <c r="G62" s="26">
        <v>0</v>
      </c>
      <c r="H62" s="45">
        <f t="shared" si="0"/>
        <v>0.03</v>
      </c>
      <c r="I62" s="18">
        <f t="shared" si="1"/>
        <v>0.02</v>
      </c>
    </row>
    <row r="63" spans="2:9" x14ac:dyDescent="0.2">
      <c r="E63" s="43">
        <v>2071</v>
      </c>
      <c r="F63" s="45">
        <v>0.03</v>
      </c>
      <c r="G63" s="26">
        <v>0</v>
      </c>
      <c r="H63" s="45">
        <f t="shared" si="0"/>
        <v>0.03</v>
      </c>
      <c r="I63" s="18">
        <f t="shared" si="1"/>
        <v>0.02</v>
      </c>
    </row>
    <row r="64" spans="2:9" x14ac:dyDescent="0.2">
      <c r="E64" s="43">
        <v>2072</v>
      </c>
      <c r="F64" s="45">
        <v>0.03</v>
      </c>
      <c r="G64" s="26">
        <v>0</v>
      </c>
      <c r="H64" s="45">
        <f t="shared" si="0"/>
        <v>0.03</v>
      </c>
      <c r="I64" s="18">
        <f t="shared" si="1"/>
        <v>0.02</v>
      </c>
    </row>
    <row r="65" spans="5:10" x14ac:dyDescent="0.2">
      <c r="E65" s="43">
        <v>2073</v>
      </c>
      <c r="F65" s="45">
        <v>0.03</v>
      </c>
      <c r="G65" s="26">
        <v>0</v>
      </c>
      <c r="H65" s="45">
        <f t="shared" si="0"/>
        <v>0.03</v>
      </c>
      <c r="I65" s="18">
        <f t="shared" si="1"/>
        <v>0.02</v>
      </c>
    </row>
    <row r="66" spans="5:10" x14ac:dyDescent="0.2">
      <c r="E66" s="43">
        <v>2074</v>
      </c>
      <c r="F66" s="45">
        <v>0.03</v>
      </c>
      <c r="G66" s="26">
        <v>0</v>
      </c>
      <c r="H66" s="45">
        <f t="shared" si="0"/>
        <v>0.03</v>
      </c>
      <c r="I66" s="18">
        <f t="shared" si="1"/>
        <v>0.02</v>
      </c>
    </row>
    <row r="67" spans="5:10" x14ac:dyDescent="0.2">
      <c r="E67" s="43">
        <v>2075</v>
      </c>
      <c r="F67" s="45">
        <v>0.03</v>
      </c>
      <c r="G67" s="26">
        <v>0</v>
      </c>
      <c r="H67" s="45">
        <f t="shared" si="0"/>
        <v>0.03</v>
      </c>
      <c r="I67" s="18">
        <f t="shared" si="1"/>
        <v>0.02</v>
      </c>
    </row>
    <row r="68" spans="5:10" x14ac:dyDescent="0.2">
      <c r="E68" s="43">
        <v>2076</v>
      </c>
      <c r="F68" s="45">
        <v>0.03</v>
      </c>
      <c r="G68" s="26">
        <v>0</v>
      </c>
      <c r="H68" s="45">
        <f t="shared" si="0"/>
        <v>0.03</v>
      </c>
      <c r="I68" s="18">
        <f t="shared" si="1"/>
        <v>0.02</v>
      </c>
    </row>
    <row r="69" spans="5:10" x14ac:dyDescent="0.2">
      <c r="E69" s="43">
        <v>2077</v>
      </c>
      <c r="F69" s="45">
        <v>0.03</v>
      </c>
      <c r="G69" s="26">
        <v>0</v>
      </c>
      <c r="H69" s="45">
        <f t="shared" si="0"/>
        <v>0.03</v>
      </c>
      <c r="I69" s="18">
        <f t="shared" si="1"/>
        <v>0.02</v>
      </c>
    </row>
    <row r="70" spans="5:10" x14ac:dyDescent="0.2">
      <c r="E70" s="43">
        <v>2078</v>
      </c>
      <c r="F70" s="45">
        <v>0.03</v>
      </c>
      <c r="G70" s="26">
        <v>0</v>
      </c>
      <c r="H70" s="45">
        <f t="shared" si="0"/>
        <v>0.03</v>
      </c>
      <c r="I70" s="18">
        <f t="shared" si="1"/>
        <v>0.02</v>
      </c>
    </row>
    <row r="71" spans="5:10" x14ac:dyDescent="0.2">
      <c r="E71" s="43">
        <v>2079</v>
      </c>
      <c r="F71" s="45">
        <v>0.03</v>
      </c>
      <c r="G71" s="26">
        <v>0</v>
      </c>
      <c r="H71" s="45">
        <f t="shared" si="0"/>
        <v>0.03</v>
      </c>
      <c r="I71" s="18">
        <f t="shared" si="1"/>
        <v>0.02</v>
      </c>
    </row>
    <row r="72" spans="5:10" x14ac:dyDescent="0.2">
      <c r="E72" s="43">
        <v>2080</v>
      </c>
      <c r="F72" s="45">
        <v>0.03</v>
      </c>
      <c r="G72" s="26">
        <v>0</v>
      </c>
      <c r="H72" s="45">
        <f t="shared" si="0"/>
        <v>0.03</v>
      </c>
      <c r="I72" s="18">
        <f t="shared" si="1"/>
        <v>0.02</v>
      </c>
    </row>
    <row r="73" spans="5:10" x14ac:dyDescent="0.2">
      <c r="E73" s="43">
        <v>2081</v>
      </c>
      <c r="F73" s="45">
        <v>0.03</v>
      </c>
      <c r="G73" s="26">
        <v>0</v>
      </c>
      <c r="H73" s="45">
        <f t="shared" si="0"/>
        <v>0.03</v>
      </c>
      <c r="I73" s="18">
        <f t="shared" si="1"/>
        <v>0.02</v>
      </c>
    </row>
    <row r="74" spans="5:10" x14ac:dyDescent="0.2">
      <c r="E74" s="43">
        <v>2082</v>
      </c>
      <c r="F74" s="45">
        <v>0.03</v>
      </c>
      <c r="G74" s="26">
        <v>0</v>
      </c>
      <c r="H74" s="45">
        <f t="shared" si="0"/>
        <v>0.03</v>
      </c>
      <c r="I74" s="18">
        <f t="shared" si="1"/>
        <v>0.02</v>
      </c>
    </row>
    <row r="75" spans="5:10" x14ac:dyDescent="0.2">
      <c r="E75" s="46">
        <v>2083</v>
      </c>
      <c r="F75" s="47">
        <v>0.03</v>
      </c>
      <c r="G75" s="48">
        <v>0</v>
      </c>
      <c r="H75" s="47">
        <f t="shared" si="0"/>
        <v>0.03</v>
      </c>
      <c r="I75" s="28">
        <f t="shared" si="1"/>
        <v>0.02</v>
      </c>
    </row>
    <row r="76" spans="5:10" x14ac:dyDescent="0.2">
      <c r="E76" s="49" t="s">
        <v>43</v>
      </c>
      <c r="F76" s="49"/>
      <c r="G76" s="49"/>
      <c r="H76" s="49"/>
      <c r="I76" s="49"/>
      <c r="J76" s="49"/>
    </row>
    <row r="77" spans="5:10" x14ac:dyDescent="0.2">
      <c r="E77" s="49"/>
      <c r="F77" s="49"/>
      <c r="G77" s="49"/>
      <c r="H77" s="49"/>
      <c r="I77" s="49"/>
      <c r="J77" s="49"/>
    </row>
    <row r="78" spans="5:10" x14ac:dyDescent="0.2">
      <c r="E78" s="49"/>
      <c r="F78" s="49"/>
      <c r="G78" s="49"/>
      <c r="H78" s="49"/>
      <c r="I78" s="49"/>
      <c r="J78" s="49"/>
    </row>
  </sheetData>
  <sheetProtection password="9079" sheet="1" objects="1" scenarios="1"/>
  <mergeCells count="7">
    <mergeCell ref="E76:J78"/>
    <mergeCell ref="B22:B26"/>
    <mergeCell ref="E10:E14"/>
    <mergeCell ref="I10:I14"/>
    <mergeCell ref="F10:F14"/>
    <mergeCell ref="G10:G14"/>
    <mergeCell ref="H10:H14"/>
  </mergeCells>
  <phoneticPr fontId="2" type="noConversion"/>
  <dataValidations count="4">
    <dataValidation type="list" allowBlank="1" showInputMessage="1" showErrorMessage="1" sqref="IU6" xr:uid="{00000000-0002-0000-0000-000000000000}">
      <formula1>$B$39:$B$40</formula1>
    </dataValidation>
    <dataValidation type="custom" allowBlank="1" showErrorMessage="1" error="A havi tagdíj (egyéni + munkáltatói) összege minimum 10 000 Ft!" sqref="C14" xr:uid="{00000000-0002-0000-0000-000001000000}">
      <formula1>D15&gt;=10000</formula1>
    </dataValidation>
    <dataValidation type="decimal" allowBlank="1" showErrorMessage="1" error="A megadható reálhozam minimuma 0%, maximuma 5%!" prompt="A megadható reálhozam minimuma 0%, maximuma 5%!" sqref="C17" xr:uid="{00000000-0002-0000-0000-000002000000}">
      <formula1>XFC2</formula1>
      <formula2>XFC3</formula2>
    </dataValidation>
    <dataValidation type="list" allowBlank="1" showInputMessage="1" showErrorMessage="1" sqref="C16" xr:uid="{00000000-0002-0000-0000-000003000000}">
      <formula1>$B$43:$B$44</formula1>
    </dataValidation>
  </dataValidations>
  <pageMargins left="0.75" right="0.75" top="1" bottom="1" header="0.5" footer="0.5"/>
  <pageSetup paperSize="9" scale="67" orientation="portrait" r:id="rId1"/>
  <headerFooter alignWithMargins="0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Z531"/>
  <sheetViews>
    <sheetView showGridLines="0" workbookViewId="0">
      <pane ySplit="1" topLeftCell="A2" activePane="bottomLeft" state="frozen"/>
      <selection pane="bottomLeft"/>
    </sheetView>
  </sheetViews>
  <sheetFormatPr defaultRowHeight="12.75" x14ac:dyDescent="0.2"/>
  <cols>
    <col min="1" max="15" width="13.42578125" customWidth="1"/>
    <col min="16" max="17" width="16.42578125" customWidth="1"/>
    <col min="18" max="21" width="13.42578125" customWidth="1"/>
    <col min="22" max="22" width="15.28515625" customWidth="1"/>
    <col min="23" max="27" width="13.42578125" customWidth="1"/>
  </cols>
  <sheetData>
    <row r="1" spans="1:26" ht="33.75" customHeight="1" x14ac:dyDescent="0.2">
      <c r="A1" s="1" t="s">
        <v>0</v>
      </c>
      <c r="B1" s="1" t="s">
        <v>17</v>
      </c>
      <c r="C1" s="1" t="s">
        <v>1</v>
      </c>
      <c r="D1" s="1" t="s">
        <v>5</v>
      </c>
      <c r="E1" s="1" t="s">
        <v>6</v>
      </c>
      <c r="F1" s="1" t="s">
        <v>2</v>
      </c>
      <c r="G1" s="20">
        <v>0.9</v>
      </c>
      <c r="H1" s="33">
        <v>0.94</v>
      </c>
      <c r="I1" s="33">
        <v>0.95</v>
      </c>
      <c r="J1" s="25">
        <v>0.98</v>
      </c>
      <c r="K1" s="25">
        <v>0.995</v>
      </c>
      <c r="L1" s="20" t="s">
        <v>28</v>
      </c>
      <c r="M1" s="1" t="s">
        <v>21</v>
      </c>
      <c r="N1" s="1" t="s">
        <v>22</v>
      </c>
      <c r="O1" s="1" t="s">
        <v>23</v>
      </c>
      <c r="P1" s="1" t="s">
        <v>31</v>
      </c>
      <c r="Q1" s="1" t="s">
        <v>24</v>
      </c>
      <c r="R1" s="1" t="s">
        <v>29</v>
      </c>
      <c r="S1" s="1" t="s">
        <v>30</v>
      </c>
      <c r="T1" s="1" t="s">
        <v>4</v>
      </c>
      <c r="U1" s="1" t="s">
        <v>3</v>
      </c>
      <c r="V1" s="1" t="s">
        <v>7</v>
      </c>
      <c r="W1" s="1" t="s">
        <v>8</v>
      </c>
    </row>
    <row r="2" spans="1:26" x14ac:dyDescent="0.2">
      <c r="A2" s="6">
        <f ca="1">DATE(YEAR('ÖNYP kalkulátor'!$C$12),MONTH('ÖNYP kalkulátor'!$C$12)+1,1)</f>
        <v>45627</v>
      </c>
      <c r="B2" s="12">
        <v>1</v>
      </c>
      <c r="C2" s="7">
        <f ca="1">(YEAR(A2)-YEAR('ÖNYP kalkulátor'!$C$10))+(MONTH(CF!A2)-MONTH('ÖNYP kalkulátor'!$C$10)-1)/12</f>
        <v>43.5</v>
      </c>
      <c r="D2" s="4">
        <f ca="1">(1+VLOOKUP(YEAR(A2),'ÖNYP kalkulátor'!$E$15:$F$75,2,FALSE))^(1/12)-1</f>
        <v>4.0741237836483535E-3</v>
      </c>
      <c r="E2" s="3">
        <v>1</v>
      </c>
      <c r="F2" s="8">
        <f>'ÖNYP kalkulátor'!C11</f>
        <v>92430</v>
      </c>
      <c r="G2" s="8">
        <v>10000</v>
      </c>
      <c r="H2" s="8">
        <v>250000</v>
      </c>
      <c r="I2" s="8">
        <v>500000</v>
      </c>
      <c r="J2" s="8">
        <v>750000</v>
      </c>
      <c r="K2" s="8"/>
      <c r="L2" s="4">
        <v>0</v>
      </c>
      <c r="M2" s="8">
        <f>'ÖNYP kalkulátor'!$C$14</f>
        <v>30000</v>
      </c>
      <c r="N2" s="8">
        <f>'ÖNYP kalkulátor'!$C$15</f>
        <v>10000</v>
      </c>
      <c r="O2" s="8">
        <f>+M2+N2</f>
        <v>40000</v>
      </c>
      <c r="P2" s="8">
        <f>IF(O2&lt;G2,O2*$G$1,0)
+IF(AND(O2&lt;H2,O2&gt;=G2),G2*$G$1+(O2-G2)*$H$1,0)
+IF(AND(O2&lt;I2,O2&gt;=H2),G2*$G$1+(H2-G2)*$H$1+(O2-H2)*$I$1,0)
+IF(AND(O2&lt;J2,O2&gt;=I2),G2*$G$1+(H2-G2)*$H$1+(I2-H2)*$I$1+(O2-I2)*$J$1,0)
+IF(AND(O2&gt;=J2),G2*$G$1+(H2-G2)*$H$1+(I2-H2)*$I$1+(J2-I2)*$J$1+(O2-J2)*$K$1,0)</f>
        <v>37200</v>
      </c>
      <c r="Q2" s="8">
        <f>P2</f>
        <v>37200</v>
      </c>
      <c r="R2" s="13">
        <v>150000</v>
      </c>
      <c r="S2" s="13">
        <f ca="1">MIN(IF(AND(MONTH(A2)=5,'ÖNYP kalkulátor'!$IU$6="igen"),(M2+N2)*12/(1+IF('ÖNYP kalkulátor'!$C$16="nem",0,VLOOKUP(YEAR(A2),'ÖNYP kalkulátor'!$E$15:$J$75,4)))*0.2,0),R2)</f>
        <v>0</v>
      </c>
      <c r="T2" s="4">
        <f ca="1">(1+VLOOKUP(YEAR(A2),'ÖNYP kalkulátor'!$E$15:$F$75,2,FALSE)+VLOOKUP(YEAR(A2),'ÖNYP kalkulátor'!$E$15:$I$75,5,FALSE))^(1/12)-1</f>
        <v>5.6541453874052738E-3</v>
      </c>
      <c r="U2" s="8">
        <f t="shared" ref="U2:U65" ca="1" si="0">+(F2+Q2+S2)*T2</f>
        <v>732.94686656934562</v>
      </c>
      <c r="V2" s="14">
        <f t="shared" ref="V2:V65" ca="1" si="1">+F2+Q2+S2+U2</f>
        <v>130362.94686656934</v>
      </c>
      <c r="W2" s="8">
        <f t="shared" ref="W2:W65" ca="1" si="2">+V2/E2</f>
        <v>130362.94686656934</v>
      </c>
      <c r="Y2" s="3"/>
      <c r="Z2" s="22"/>
    </row>
    <row r="3" spans="1:26" x14ac:dyDescent="0.2">
      <c r="A3" s="6">
        <f ca="1">+DATE(YEAR(A2),MONTH(A2)+1,1)</f>
        <v>45658</v>
      </c>
      <c r="B3" s="12">
        <f ca="1">+IF(YEAR(A3)=YEAR(A2),B2+1,1)</f>
        <v>1</v>
      </c>
      <c r="C3" s="7">
        <f ca="1">(YEAR(A3)-YEAR('ÖNYP kalkulátor'!$C$10))+(MONTH(CF!A3)-MONTH('ÖNYP kalkulátor'!$C$10)-1)/12</f>
        <v>43.583333333333336</v>
      </c>
      <c r="D3" s="4">
        <f ca="1">(1+VLOOKUP(YEAR(A3),'ÖNYP kalkulátor'!$E$15:$F$75,2,FALSE))^(1/12)-1</f>
        <v>2.4662697723036864E-3</v>
      </c>
      <c r="E3" s="4">
        <f ca="1">E2*(1+D2)</f>
        <v>1.0040741237836484</v>
      </c>
      <c r="F3" s="8">
        <f ca="1">+V2</f>
        <v>130362.94686656934</v>
      </c>
      <c r="G3" s="8">
        <v>10000</v>
      </c>
      <c r="H3" s="8">
        <v>250000</v>
      </c>
      <c r="I3" s="8">
        <v>500000</v>
      </c>
      <c r="J3" s="8">
        <v>750000</v>
      </c>
      <c r="K3" s="8"/>
      <c r="L3" s="4">
        <f ca="1">+IF('ÖNYP kalkulátor'!$C$16="nem",0,
IF(MONTH(A3)=1,VLOOKUP(YEAR(A3),'ÖNYP kalkulátor'!$E$15:$J$75,4),0))</f>
        <v>0.03</v>
      </c>
      <c r="M3" s="8">
        <f ca="1">M2*(1+L3)</f>
        <v>30900</v>
      </c>
      <c r="N3" s="8">
        <f ca="1">N2*(1+L3)</f>
        <v>10300</v>
      </c>
      <c r="O3" s="8">
        <f t="shared" ref="O3:O66" ca="1" si="3">IF(YEAR(A3)=YEAR(A2),O2+M3+N3,M3+N3)</f>
        <v>41200</v>
      </c>
      <c r="P3" s="8">
        <f t="shared" ref="P3:P66" ca="1" si="4">IF(O3&lt;G3,O3*$G$1,0)
+IF(AND(O3&lt;H3,O3&gt;=G3),G3*$G$1+(O3-G3)*$H$1,0)
+IF(AND(O3&lt;I3,O3&gt;=H3),G3*$G$1+(H3-G3)*$H$1+(O3-H3)*$I$1,0)
+IF(AND(O3&lt;J3,O3&gt;=I3),G3*$G$1+(H3-G3)*$H$1+(I3-H3)*$I$1+(O3-I3)*$J$1,0)
+IF(AND(O3&gt;=J3),G3*$G$1+(H3-G3)*$H$1+(I3-H3)*$I$1+(J3-I3)*$J$1+(O3-J3)*$K$1,0)</f>
        <v>38328</v>
      </c>
      <c r="Q3" s="8">
        <f t="shared" ref="Q3:Q66" ca="1" si="5">IF(YEAR(A3)=YEAR(A2),P3-P2,P3)</f>
        <v>38328</v>
      </c>
      <c r="R3" s="13">
        <v>150000</v>
      </c>
      <c r="S3" s="13">
        <f ca="1">MIN(IF(AND(MONTH(A3)=5,'ÖNYP kalkulátor'!$IU$6="igen"),(M3+N3)*12/(1+IF('ÖNYP kalkulátor'!$C$16="nem",0,VLOOKUP(YEAR(A3),'ÖNYP kalkulátor'!$E$15:$J$75,4)))*0.2,0),R3)</f>
        <v>0</v>
      </c>
      <c r="T3" s="4">
        <f ca="1">(1+VLOOKUP(YEAR(A3),'ÖNYP kalkulátor'!$E$15:$F$75,2,FALSE)+VLOOKUP(YEAR(A3),'ÖNYP kalkulátor'!$E$15:$I$75,5,FALSE))^(1/12)-1</f>
        <v>4.0741237836483535E-3</v>
      </c>
      <c r="U3" s="8">
        <f t="shared" ca="1" si="0"/>
        <v>687.26779871525082</v>
      </c>
      <c r="V3" s="14">
        <f t="shared" ca="1" si="1"/>
        <v>169378.21466528458</v>
      </c>
      <c r="W3" s="8">
        <f t="shared" ca="1" si="2"/>
        <v>168690.94686656934</v>
      </c>
      <c r="Y3" s="3"/>
    </row>
    <row r="4" spans="1:26" x14ac:dyDescent="0.2">
      <c r="A4" s="6">
        <f t="shared" ref="A4:A67" ca="1" si="6">+DATE(YEAR(A3),MONTH(A3)+1,1)</f>
        <v>45689</v>
      </c>
      <c r="B4" s="12">
        <f t="shared" ref="B4:B67" ca="1" si="7">+IF(YEAR(A4)=YEAR(A3),B3+1,1)</f>
        <v>2</v>
      </c>
      <c r="C4" s="7">
        <f ca="1">(YEAR(A4)-YEAR('ÖNYP kalkulátor'!$C$10))+(MONTH(CF!A4)-MONTH('ÖNYP kalkulátor'!$C$10)-1)/12</f>
        <v>43.666666666666664</v>
      </c>
      <c r="D4" s="4">
        <f ca="1">(1+VLOOKUP(YEAR(A4),'ÖNYP kalkulátor'!$E$15:$F$75,2,FALSE))^(1/12)-1</f>
        <v>2.4662697723036864E-3</v>
      </c>
      <c r="E4" s="4">
        <f t="shared" ref="E4:E20" ca="1" si="8">E3*(1+D3)</f>
        <v>1.0065504414442883</v>
      </c>
      <c r="F4" s="8">
        <f t="shared" ref="F4:F38" ca="1" si="9">+V3</f>
        <v>169378.21466528458</v>
      </c>
      <c r="G4" s="8">
        <v>10000</v>
      </c>
      <c r="H4" s="8">
        <v>250000</v>
      </c>
      <c r="I4" s="8">
        <v>500000</v>
      </c>
      <c r="J4" s="8">
        <v>750000</v>
      </c>
      <c r="K4" s="8"/>
      <c r="L4" s="4">
        <f ca="1">+IF('ÖNYP kalkulátor'!$C$16="nem",0,
IF(MONTH(A4)=1,VLOOKUP(YEAR(A4),'ÖNYP kalkulátor'!$E$15:$J$75,4),0))</f>
        <v>0</v>
      </c>
      <c r="M4" s="8">
        <f t="shared" ref="M4:M67" ca="1" si="10">M3*(1+L4)</f>
        <v>30900</v>
      </c>
      <c r="N4" s="8">
        <f t="shared" ref="N4:N67" ca="1" si="11">N3*(1+L4)</f>
        <v>10300</v>
      </c>
      <c r="O4" s="8">
        <f t="shared" ca="1" si="3"/>
        <v>82400</v>
      </c>
      <c r="P4" s="8">
        <f t="shared" ca="1" si="4"/>
        <v>77056</v>
      </c>
      <c r="Q4" s="8">
        <f t="shared" ca="1" si="5"/>
        <v>38728</v>
      </c>
      <c r="R4" s="13">
        <v>150000</v>
      </c>
      <c r="S4" s="13">
        <f ca="1">MIN(IF(AND(MONTH(A4)=5,'ÖNYP kalkulátor'!$IU$6="igen"),(M4+N4)*12/(1+IF('ÖNYP kalkulátor'!$C$16="nem",0,VLOOKUP(YEAR(A4),'ÖNYP kalkulátor'!$E$15:$J$75,4)))*0.2,0),R4)</f>
        <v>0</v>
      </c>
      <c r="T4" s="4">
        <f ca="1">(1+VLOOKUP(YEAR(A4),'ÖNYP kalkulátor'!$E$15:$F$75,2,FALSE)+VLOOKUP(YEAR(A4),'ÖNYP kalkulátor'!$E$15:$I$75,5,FALSE))^(1/12)-1</f>
        <v>4.0741237836483535E-3</v>
      </c>
      <c r="U4" s="8">
        <f t="shared" ca="1" si="0"/>
        <v>847.85047869286575</v>
      </c>
      <c r="V4" s="14">
        <f t="shared" ca="1" si="1"/>
        <v>208954.06514397744</v>
      </c>
      <c r="W4" s="8">
        <f t="shared" ca="1" si="2"/>
        <v>207594.23128775496</v>
      </c>
      <c r="Y4" s="3"/>
    </row>
    <row r="5" spans="1:26" x14ac:dyDescent="0.2">
      <c r="A5" s="6">
        <f t="shared" ca="1" si="6"/>
        <v>45717</v>
      </c>
      <c r="B5" s="12">
        <f t="shared" ca="1" si="7"/>
        <v>3</v>
      </c>
      <c r="C5" s="7">
        <f ca="1">(YEAR(A5)-YEAR('ÖNYP kalkulátor'!$C$10))+(MONTH(CF!A5)-MONTH('ÖNYP kalkulátor'!$C$10)-1)/12</f>
        <v>43.75</v>
      </c>
      <c r="D5" s="4">
        <f ca="1">(1+VLOOKUP(YEAR(A5),'ÖNYP kalkulátor'!$E$15:$F$75,2,FALSE))^(1/12)-1</f>
        <v>2.4662697723036864E-3</v>
      </c>
      <c r="E5" s="4">
        <f t="shared" ca="1" si="8"/>
        <v>1.0090328663723214</v>
      </c>
      <c r="F5" s="8">
        <f t="shared" ca="1" si="9"/>
        <v>208954.06514397744</v>
      </c>
      <c r="G5" s="8">
        <v>10000</v>
      </c>
      <c r="H5" s="8">
        <v>250000</v>
      </c>
      <c r="I5" s="8">
        <v>500000</v>
      </c>
      <c r="J5" s="8">
        <v>750000</v>
      </c>
      <c r="K5" s="8"/>
      <c r="L5" s="4">
        <f ca="1">+IF('ÖNYP kalkulátor'!$C$16="nem",0,
IF(MONTH(A5)=1,VLOOKUP(YEAR(A5),'ÖNYP kalkulátor'!$E$15:$J$75,4),0))</f>
        <v>0</v>
      </c>
      <c r="M5" s="8">
        <f t="shared" ca="1" si="10"/>
        <v>30900</v>
      </c>
      <c r="N5" s="8">
        <f t="shared" ca="1" si="11"/>
        <v>10300</v>
      </c>
      <c r="O5" s="8">
        <f t="shared" ca="1" si="3"/>
        <v>123600</v>
      </c>
      <c r="P5" s="8">
        <f t="shared" ca="1" si="4"/>
        <v>115784</v>
      </c>
      <c r="Q5" s="8">
        <f t="shared" ca="1" si="5"/>
        <v>38728</v>
      </c>
      <c r="R5" s="13">
        <v>150000</v>
      </c>
      <c r="S5" s="13">
        <f ca="1">MIN(IF(AND(MONTH(A5)=5,'ÖNYP kalkulátor'!$IU$6="igen"),(M5+N5)*12/(1+IF('ÖNYP kalkulátor'!$C$16="nem",0,VLOOKUP(YEAR(A5),'ÖNYP kalkulátor'!$E$15:$J$75,4)))*0.2,0),R5)</f>
        <v>0</v>
      </c>
      <c r="T5" s="4">
        <f ca="1">(1+VLOOKUP(YEAR(A5),'ÖNYP kalkulátor'!$E$15:$F$75,2,FALSE)+VLOOKUP(YEAR(A5),'ÖNYP kalkulátor'!$E$15:$I$75,5,FALSE))^(1/12)-1</f>
        <v>4.0741237836483535E-3</v>
      </c>
      <c r="U5" s="8">
        <f t="shared" ca="1" si="0"/>
        <v>1009.0873923862193</v>
      </c>
      <c r="V5" s="14">
        <f t="shared" ca="1" si="1"/>
        <v>248691.15253636366</v>
      </c>
      <c r="W5" s="8">
        <f t="shared" ca="1" si="2"/>
        <v>246464.86831539887</v>
      </c>
      <c r="Y5" s="3"/>
    </row>
    <row r="6" spans="1:26" x14ac:dyDescent="0.2">
      <c r="A6" s="6">
        <f t="shared" ca="1" si="6"/>
        <v>45748</v>
      </c>
      <c r="B6" s="12">
        <f t="shared" ca="1" si="7"/>
        <v>4</v>
      </c>
      <c r="C6" s="7">
        <f ca="1">(YEAR(A6)-YEAR('ÖNYP kalkulátor'!$C$10))+(MONTH(CF!A6)-MONTH('ÖNYP kalkulátor'!$C$10)-1)/12</f>
        <v>43.833333333333336</v>
      </c>
      <c r="D6" s="4">
        <f ca="1">(1+VLOOKUP(YEAR(A6),'ÖNYP kalkulátor'!$E$15:$F$75,2,FALSE))^(1/12)-1</f>
        <v>2.4662697723036864E-3</v>
      </c>
      <c r="E6" s="4">
        <f t="shared" ca="1" si="8"/>
        <v>1.0115214136299164</v>
      </c>
      <c r="F6" s="8">
        <f t="shared" ca="1" si="9"/>
        <v>248691.15253636366</v>
      </c>
      <c r="G6" s="8">
        <v>10000</v>
      </c>
      <c r="H6" s="8">
        <v>250000</v>
      </c>
      <c r="I6" s="8">
        <v>500000</v>
      </c>
      <c r="J6" s="8">
        <v>750000</v>
      </c>
      <c r="K6" s="8"/>
      <c r="L6" s="4">
        <f ca="1">+IF('ÖNYP kalkulátor'!$C$16="nem",0,
IF(MONTH(A6)=1,VLOOKUP(YEAR(A6),'ÖNYP kalkulátor'!$E$15:$J$75,4),0))</f>
        <v>0</v>
      </c>
      <c r="M6" s="8">
        <f t="shared" ca="1" si="10"/>
        <v>30900</v>
      </c>
      <c r="N6" s="8">
        <f t="shared" ca="1" si="11"/>
        <v>10300</v>
      </c>
      <c r="O6" s="8">
        <f t="shared" ca="1" si="3"/>
        <v>164800</v>
      </c>
      <c r="P6" s="8">
        <f t="shared" ca="1" si="4"/>
        <v>154512</v>
      </c>
      <c r="Q6" s="8">
        <f t="shared" ca="1" si="5"/>
        <v>38728</v>
      </c>
      <c r="R6" s="13">
        <v>150000</v>
      </c>
      <c r="S6" s="13">
        <f ca="1">MIN(IF(AND(MONTH(A6)=5,'ÖNYP kalkulátor'!$IU$6="igen"),(M6+N6)*12/(1+IF('ÖNYP kalkulátor'!$C$16="nem",0,VLOOKUP(YEAR(A6),'ÖNYP kalkulátor'!$E$15:$J$75,4)))*0.2,0),R6)</f>
        <v>0</v>
      </c>
      <c r="T6" s="4">
        <f ca="1">(1+VLOOKUP(YEAR(A6),'ÖNYP kalkulátor'!$E$15:$F$75,2,FALSE)+VLOOKUP(YEAR(A6),'ÖNYP kalkulátor'!$E$15:$I$75,5,FALSE))^(1/12)-1</f>
        <v>4.0741237836483535E-3</v>
      </c>
      <c r="U6" s="8">
        <f t="shared" ca="1" si="0"/>
        <v>1170.9812052244533</v>
      </c>
      <c r="V6" s="14">
        <f t="shared" ca="1" si="1"/>
        <v>288590.13374158816</v>
      </c>
      <c r="W6" s="8">
        <f t="shared" ca="1" si="2"/>
        <v>285303.03941461997</v>
      </c>
      <c r="Y6" s="3"/>
    </row>
    <row r="7" spans="1:26" x14ac:dyDescent="0.2">
      <c r="A7" s="6">
        <f t="shared" ca="1" si="6"/>
        <v>45778</v>
      </c>
      <c r="B7" s="12">
        <f t="shared" ca="1" si="7"/>
        <v>5</v>
      </c>
      <c r="C7" s="7">
        <f ca="1">(YEAR(A7)-YEAR('ÖNYP kalkulátor'!$C$10))+(MONTH(CF!A7)-MONTH('ÖNYP kalkulátor'!$C$10)-1)/12</f>
        <v>43.916666666666664</v>
      </c>
      <c r="D7" s="4">
        <f ca="1">(1+VLOOKUP(YEAR(A7),'ÖNYP kalkulátor'!$E$15:$F$75,2,FALSE))^(1/12)-1</f>
        <v>2.4662697723036864E-3</v>
      </c>
      <c r="E7" s="4">
        <f t="shared" ca="1" si="8"/>
        <v>1.0140160983163897</v>
      </c>
      <c r="F7" s="8">
        <f t="shared" ca="1" si="9"/>
        <v>288590.13374158816</v>
      </c>
      <c r="G7" s="8">
        <v>10000</v>
      </c>
      <c r="H7" s="8">
        <v>250000</v>
      </c>
      <c r="I7" s="8">
        <v>500000</v>
      </c>
      <c r="J7" s="8">
        <v>750000</v>
      </c>
      <c r="K7" s="8"/>
      <c r="L7" s="4">
        <f ca="1">+IF('ÖNYP kalkulátor'!$C$16="nem",0,
IF(MONTH(A7)=1,VLOOKUP(YEAR(A7),'ÖNYP kalkulátor'!$E$15:$J$75,4),0))</f>
        <v>0</v>
      </c>
      <c r="M7" s="8">
        <f t="shared" ca="1" si="10"/>
        <v>30900</v>
      </c>
      <c r="N7" s="8">
        <f t="shared" ca="1" si="11"/>
        <v>10300</v>
      </c>
      <c r="O7" s="8">
        <f t="shared" ca="1" si="3"/>
        <v>206000</v>
      </c>
      <c r="P7" s="8">
        <f t="shared" ca="1" si="4"/>
        <v>193240</v>
      </c>
      <c r="Q7" s="8">
        <f t="shared" ca="1" si="5"/>
        <v>38728</v>
      </c>
      <c r="R7" s="13">
        <v>150000</v>
      </c>
      <c r="S7" s="13">
        <f ca="1">MIN(IF(AND(MONTH(A7)=5,'ÖNYP kalkulátor'!$IU$6="igen"),(M7+N7)*12/(1+IF('ÖNYP kalkulátor'!$C$16="nem",0,VLOOKUP(YEAR(A7),'ÖNYP kalkulátor'!$E$15:$J$75,4)))*0.2,0),R7)</f>
        <v>96000</v>
      </c>
      <c r="T7" s="4">
        <f ca="1">(1+VLOOKUP(YEAR(A7),'ÖNYP kalkulátor'!$E$15:$F$75,2,FALSE)+VLOOKUP(YEAR(A7),'ÖNYP kalkulátor'!$E$15:$I$75,5,FALSE))^(1/12)-1</f>
        <v>4.0741237836483535E-3</v>
      </c>
      <c r="U7" s="8">
        <f t="shared" ca="1" si="0"/>
        <v>1724.6504767262388</v>
      </c>
      <c r="V7" s="14">
        <f t="shared" ca="1" si="1"/>
        <v>425042.78421831439</v>
      </c>
      <c r="W7" s="8">
        <f t="shared" ca="1" si="2"/>
        <v>419167.68868268403</v>
      </c>
      <c r="Y7" s="3"/>
    </row>
    <row r="8" spans="1:26" x14ac:dyDescent="0.2">
      <c r="A8" s="6">
        <f t="shared" ca="1" si="6"/>
        <v>45809</v>
      </c>
      <c r="B8" s="12">
        <f t="shared" ca="1" si="7"/>
        <v>6</v>
      </c>
      <c r="C8" s="7">
        <f ca="1">(YEAR(A8)-YEAR('ÖNYP kalkulátor'!$C$10))+(MONTH(CF!A8)-MONTH('ÖNYP kalkulátor'!$C$10)-1)/12</f>
        <v>44</v>
      </c>
      <c r="D8" s="4">
        <f ca="1">(1+VLOOKUP(YEAR(A8),'ÖNYP kalkulátor'!$E$15:$F$75,2,FALSE))^(1/12)-1</f>
        <v>2.4662697723036864E-3</v>
      </c>
      <c r="E8" s="4">
        <f t="shared" ca="1" si="8"/>
        <v>1.0165169355682968</v>
      </c>
      <c r="F8" s="8">
        <f t="shared" ca="1" si="9"/>
        <v>425042.78421831439</v>
      </c>
      <c r="G8" s="8">
        <v>10000</v>
      </c>
      <c r="H8" s="8">
        <v>250000</v>
      </c>
      <c r="I8" s="8">
        <v>500000</v>
      </c>
      <c r="J8" s="8">
        <v>750000</v>
      </c>
      <c r="K8" s="8"/>
      <c r="L8" s="4">
        <f ca="1">+IF('ÖNYP kalkulátor'!$C$16="nem",0,
IF(MONTH(A8)=1,VLOOKUP(YEAR(A8),'ÖNYP kalkulátor'!$E$15:$J$75,4),0))</f>
        <v>0</v>
      </c>
      <c r="M8" s="8">
        <f t="shared" ca="1" si="10"/>
        <v>30900</v>
      </c>
      <c r="N8" s="8">
        <f t="shared" ca="1" si="11"/>
        <v>10300</v>
      </c>
      <c r="O8" s="8">
        <f t="shared" ca="1" si="3"/>
        <v>247200</v>
      </c>
      <c r="P8" s="8">
        <f t="shared" ca="1" si="4"/>
        <v>231968</v>
      </c>
      <c r="Q8" s="8">
        <f t="shared" ca="1" si="5"/>
        <v>38728</v>
      </c>
      <c r="R8" s="13">
        <v>150000</v>
      </c>
      <c r="S8" s="13">
        <f ca="1">MIN(IF(AND(MONTH(A8)=5,'ÖNYP kalkulátor'!$IU$6="igen"),(M8+N8)*12/(1+IF('ÖNYP kalkulátor'!$C$16="nem",0,VLOOKUP(YEAR(A8),'ÖNYP kalkulátor'!$E$15:$J$75,4)))*0.2,0),R8)</f>
        <v>0</v>
      </c>
      <c r="T8" s="4">
        <f ca="1">(1+VLOOKUP(YEAR(A8),'ÖNYP kalkulátor'!$E$15:$F$75,2,FALSE)+VLOOKUP(YEAR(A8),'ÖNYP kalkulátor'!$E$15:$I$75,5,FALSE))^(1/12)-1</f>
        <v>4.0741237836483535E-3</v>
      </c>
      <c r="U8" s="8">
        <f t="shared" ca="1" si="0"/>
        <v>1889.4595821450832</v>
      </c>
      <c r="V8" s="14">
        <f t="shared" ca="1" si="1"/>
        <v>465660.24380045949</v>
      </c>
      <c r="W8" s="8">
        <f t="shared" ca="1" si="2"/>
        <v>458093.93577897071</v>
      </c>
      <c r="Y8" s="3"/>
    </row>
    <row r="9" spans="1:26" x14ac:dyDescent="0.2">
      <c r="A9" s="6">
        <f t="shared" ca="1" si="6"/>
        <v>45839</v>
      </c>
      <c r="B9" s="12">
        <f t="shared" ca="1" si="7"/>
        <v>7</v>
      </c>
      <c r="C9" s="7">
        <f ca="1">(YEAR(A9)-YEAR('ÖNYP kalkulátor'!$C$10))+(MONTH(CF!A9)-MONTH('ÖNYP kalkulátor'!$C$10)-1)/12</f>
        <v>44.083333333333336</v>
      </c>
      <c r="D9" s="4">
        <f ca="1">(1+VLOOKUP(YEAR(A9),'ÖNYP kalkulátor'!$E$15:$F$75,2,FALSE))^(1/12)-1</f>
        <v>2.4662697723036864E-3</v>
      </c>
      <c r="E9" s="4">
        <f t="shared" ca="1" si="8"/>
        <v>1.0190239405595236</v>
      </c>
      <c r="F9" s="8">
        <f t="shared" ca="1" si="9"/>
        <v>465660.24380045949</v>
      </c>
      <c r="G9" s="8">
        <v>10000</v>
      </c>
      <c r="H9" s="8">
        <v>250000</v>
      </c>
      <c r="I9" s="8">
        <v>500000</v>
      </c>
      <c r="J9" s="8">
        <v>750000</v>
      </c>
      <c r="K9" s="8"/>
      <c r="L9" s="4">
        <f ca="1">+IF('ÖNYP kalkulátor'!$C$16="nem",0,
IF(MONTH(A9)=1,VLOOKUP(YEAR(A9),'ÖNYP kalkulátor'!$E$15:$J$75,4),0))</f>
        <v>0</v>
      </c>
      <c r="M9" s="8">
        <f t="shared" ca="1" si="10"/>
        <v>30900</v>
      </c>
      <c r="N9" s="8">
        <f t="shared" ca="1" si="11"/>
        <v>10300</v>
      </c>
      <c r="O9" s="8">
        <f t="shared" ca="1" si="3"/>
        <v>288400</v>
      </c>
      <c r="P9" s="8">
        <f t="shared" ca="1" si="4"/>
        <v>271080</v>
      </c>
      <c r="Q9" s="8">
        <f t="shared" ca="1" si="5"/>
        <v>39112</v>
      </c>
      <c r="R9" s="13">
        <v>150000</v>
      </c>
      <c r="S9" s="13">
        <f ca="1">MIN(IF(AND(MONTH(A9)=5,'ÖNYP kalkulátor'!$IU$6="igen"),(M9+N9)*12/(1+IF('ÖNYP kalkulátor'!$C$16="nem",0,VLOOKUP(YEAR(A9),'ÖNYP kalkulátor'!$E$15:$J$75,4)))*0.2,0),R9)</f>
        <v>0</v>
      </c>
      <c r="T9" s="4">
        <f ca="1">(1+VLOOKUP(YEAR(A9),'ÖNYP kalkulátor'!$E$15:$F$75,2,FALSE)+VLOOKUP(YEAR(A9),'ÖNYP kalkulátor'!$E$15:$I$75,5,FALSE))^(1/12)-1</f>
        <v>4.0741237836483535E-3</v>
      </c>
      <c r="U9" s="8">
        <f t="shared" ca="1" si="0"/>
        <v>2056.5046037929969</v>
      </c>
      <c r="V9" s="14">
        <f t="shared" ca="1" si="1"/>
        <v>506828.74840425246</v>
      </c>
      <c r="W9" s="8">
        <f t="shared" ca="1" si="2"/>
        <v>497366.87062127702</v>
      </c>
      <c r="Y9" s="3"/>
    </row>
    <row r="10" spans="1:26" x14ac:dyDescent="0.2">
      <c r="A10" s="6">
        <f t="shared" ca="1" si="6"/>
        <v>45870</v>
      </c>
      <c r="B10" s="12">
        <f t="shared" ca="1" si="7"/>
        <v>8</v>
      </c>
      <c r="C10" s="7">
        <f ca="1">(YEAR(A10)-YEAR('ÖNYP kalkulátor'!$C$10))+(MONTH(CF!A10)-MONTH('ÖNYP kalkulátor'!$C$10)-1)/12</f>
        <v>44.166666666666664</v>
      </c>
      <c r="D10" s="4">
        <f ca="1">(1+VLOOKUP(YEAR(A10),'ÖNYP kalkulátor'!$E$15:$F$75,2,FALSE))^(1/12)-1</f>
        <v>2.4662697723036864E-3</v>
      </c>
      <c r="E10" s="4">
        <f t="shared" ca="1" si="8"/>
        <v>1.0215371285013795</v>
      </c>
      <c r="F10" s="8">
        <f t="shared" ca="1" si="9"/>
        <v>506828.74840425246</v>
      </c>
      <c r="G10" s="8">
        <v>10000</v>
      </c>
      <c r="H10" s="8">
        <v>250000</v>
      </c>
      <c r="I10" s="8">
        <v>500000</v>
      </c>
      <c r="J10" s="8">
        <v>750000</v>
      </c>
      <c r="K10" s="8"/>
      <c r="L10" s="4">
        <f ca="1">+IF('ÖNYP kalkulátor'!$C$16="nem",0,
IF(MONTH(A10)=1,VLOOKUP(YEAR(A10),'ÖNYP kalkulátor'!$E$15:$J$75,4),0))</f>
        <v>0</v>
      </c>
      <c r="M10" s="8">
        <f t="shared" ca="1" si="10"/>
        <v>30900</v>
      </c>
      <c r="N10" s="8">
        <f t="shared" ca="1" si="11"/>
        <v>10300</v>
      </c>
      <c r="O10" s="8">
        <f t="shared" ca="1" si="3"/>
        <v>329600</v>
      </c>
      <c r="P10" s="8">
        <f t="shared" ca="1" si="4"/>
        <v>310220</v>
      </c>
      <c r="Q10" s="8">
        <f t="shared" ca="1" si="5"/>
        <v>39140</v>
      </c>
      <c r="R10" s="13">
        <v>150000</v>
      </c>
      <c r="S10" s="13">
        <f ca="1">MIN(IF(AND(MONTH(A10)=5,'ÖNYP kalkulátor'!$IU$6="igen"),(M10+N10)*12/(1+IF('ÖNYP kalkulátor'!$C$16="nem",0,VLOOKUP(YEAR(A10),'ÖNYP kalkulátor'!$E$15:$J$75,4)))*0.2,0),R10)</f>
        <v>0</v>
      </c>
      <c r="T10" s="4">
        <f ca="1">(1+VLOOKUP(YEAR(A10),'ÖNYP kalkulátor'!$E$15:$F$75,2,FALSE)+VLOOKUP(YEAR(A10),'ÖNYP kalkulátor'!$E$15:$I$75,5,FALSE))^(1/12)-1</f>
        <v>4.0741237836483535E-3</v>
      </c>
      <c r="U10" s="8">
        <f t="shared" ca="1" si="0"/>
        <v>2224.3442630024888</v>
      </c>
      <c r="V10" s="14">
        <f t="shared" ca="1" si="1"/>
        <v>548193.09266725497</v>
      </c>
      <c r="W10" s="8">
        <f t="shared" ca="1" si="2"/>
        <v>536635.50484108983</v>
      </c>
      <c r="Y10" s="3"/>
    </row>
    <row r="11" spans="1:26" x14ac:dyDescent="0.2">
      <c r="A11" s="6">
        <f t="shared" ca="1" si="6"/>
        <v>45901</v>
      </c>
      <c r="B11" s="12">
        <f t="shared" ca="1" si="7"/>
        <v>9</v>
      </c>
      <c r="C11" s="7">
        <f ca="1">(YEAR(A11)-YEAR('ÖNYP kalkulátor'!$C$10))+(MONTH(CF!A11)-MONTH('ÖNYP kalkulátor'!$C$10)-1)/12</f>
        <v>44.25</v>
      </c>
      <c r="D11" s="4">
        <f ca="1">(1+VLOOKUP(YEAR(A11),'ÖNYP kalkulátor'!$E$15:$F$75,2,FALSE))^(1/12)-1</f>
        <v>2.4662697723036864E-3</v>
      </c>
      <c r="E11" s="4">
        <f t="shared" ca="1" si="8"/>
        <v>1.0240565146426883</v>
      </c>
      <c r="F11" s="8">
        <f t="shared" ca="1" si="9"/>
        <v>548193.09266725497</v>
      </c>
      <c r="G11" s="8">
        <v>10000</v>
      </c>
      <c r="H11" s="8">
        <v>250000</v>
      </c>
      <c r="I11" s="8">
        <v>500000</v>
      </c>
      <c r="J11" s="8">
        <v>750000</v>
      </c>
      <c r="K11" s="8"/>
      <c r="L11" s="4">
        <f ca="1">+IF('ÖNYP kalkulátor'!$C$16="nem",0,
IF(MONTH(A11)=1,VLOOKUP(YEAR(A11),'ÖNYP kalkulátor'!$E$15:$J$75,4),0))</f>
        <v>0</v>
      </c>
      <c r="M11" s="8">
        <f t="shared" ca="1" si="10"/>
        <v>30900</v>
      </c>
      <c r="N11" s="8">
        <f t="shared" ca="1" si="11"/>
        <v>10300</v>
      </c>
      <c r="O11" s="8">
        <f t="shared" ca="1" si="3"/>
        <v>370800</v>
      </c>
      <c r="P11" s="8">
        <f t="shared" ca="1" si="4"/>
        <v>349360</v>
      </c>
      <c r="Q11" s="8">
        <f t="shared" ca="1" si="5"/>
        <v>39140</v>
      </c>
      <c r="R11" s="13">
        <v>150000</v>
      </c>
      <c r="S11" s="13">
        <f ca="1">MIN(IF(AND(MONTH(A11)=5,'ÖNYP kalkulátor'!$IU$6="igen"),(M11+N11)*12/(1+IF('ÖNYP kalkulátor'!$C$16="nem",0,VLOOKUP(YEAR(A11),'ÖNYP kalkulátor'!$E$15:$J$75,4)))*0.2,0),R11)</f>
        <v>0</v>
      </c>
      <c r="T11" s="4">
        <f ca="1">(1+VLOOKUP(YEAR(A11),'ÖNYP kalkulátor'!$E$15:$F$75,2,FALSE)+VLOOKUP(YEAR(A11),'ÖNYP kalkulátor'!$E$15:$I$75,5,FALSE))^(1/12)-1</f>
        <v>4.0741237836483535E-3</v>
      </c>
      <c r="U11" s="8">
        <f t="shared" ca="1" si="0"/>
        <v>2392.8677217594059</v>
      </c>
      <c r="V11" s="14">
        <f t="shared" ca="1" si="1"/>
        <v>589725.96038901433</v>
      </c>
      <c r="W11" s="8">
        <f t="shared" ca="1" si="2"/>
        <v>575872.47574395861</v>
      </c>
      <c r="Y11" s="3"/>
    </row>
    <row r="12" spans="1:26" x14ac:dyDescent="0.2">
      <c r="A12" s="6">
        <f t="shared" ca="1" si="6"/>
        <v>45931</v>
      </c>
      <c r="B12" s="12">
        <f t="shared" ca="1" si="7"/>
        <v>10</v>
      </c>
      <c r="C12" s="7">
        <f ca="1">(YEAR(A12)-YEAR('ÖNYP kalkulátor'!$C$10))+(MONTH(CF!A12)-MONTH('ÖNYP kalkulátor'!$C$10)-1)/12</f>
        <v>44.333333333333336</v>
      </c>
      <c r="D12" s="4">
        <f ca="1">(1+VLOOKUP(YEAR(A12),'ÖNYP kalkulátor'!$E$15:$F$75,2,FALSE))^(1/12)-1</f>
        <v>2.4662697723036864E-3</v>
      </c>
      <c r="E12" s="4">
        <f t="shared" ca="1" si="8"/>
        <v>1.0265821142698823</v>
      </c>
      <c r="F12" s="8">
        <f t="shared" ca="1" si="9"/>
        <v>589725.96038901433</v>
      </c>
      <c r="G12" s="8">
        <v>10000</v>
      </c>
      <c r="H12" s="8">
        <v>250000</v>
      </c>
      <c r="I12" s="8">
        <v>500000</v>
      </c>
      <c r="J12" s="8">
        <v>750000</v>
      </c>
      <c r="K12" s="8"/>
      <c r="L12" s="4">
        <f ca="1">+IF('ÖNYP kalkulátor'!$C$16="nem",0,
IF(MONTH(A12)=1,VLOOKUP(YEAR(A12),'ÖNYP kalkulátor'!$E$15:$J$75,4),0))</f>
        <v>0</v>
      </c>
      <c r="M12" s="8">
        <f t="shared" ca="1" si="10"/>
        <v>30900</v>
      </c>
      <c r="N12" s="8">
        <f t="shared" ca="1" si="11"/>
        <v>10300</v>
      </c>
      <c r="O12" s="8">
        <f t="shared" ca="1" si="3"/>
        <v>412000</v>
      </c>
      <c r="P12" s="8">
        <f t="shared" ca="1" si="4"/>
        <v>388500</v>
      </c>
      <c r="Q12" s="8">
        <f t="shared" ca="1" si="5"/>
        <v>39140</v>
      </c>
      <c r="R12" s="13">
        <v>150000</v>
      </c>
      <c r="S12" s="13">
        <f ca="1">MIN(IF(AND(MONTH(A12)=5,'ÖNYP kalkulátor'!$IU$6="igen"),(M12+N12)*12/(1+IF('ÖNYP kalkulátor'!$C$16="nem",0,VLOOKUP(YEAR(A12),'ÖNYP kalkulátor'!$E$15:$J$75,4)))*0.2,0),R12)</f>
        <v>0</v>
      </c>
      <c r="T12" s="4">
        <f ca="1">(1+VLOOKUP(YEAR(A12),'ÖNYP kalkulátor'!$E$15:$F$75,2,FALSE)+VLOOKUP(YEAR(A12),'ÖNYP kalkulátor'!$E$15:$I$75,5,FALSE))^(1/12)-1</f>
        <v>4.0741237836483535E-3</v>
      </c>
      <c r="U12" s="8">
        <f t="shared" ca="1" si="0"/>
        <v>2562.0777659477467</v>
      </c>
      <c r="V12" s="14">
        <f t="shared" ca="1" si="1"/>
        <v>631428.03815496212</v>
      </c>
      <c r="W12" s="8">
        <f t="shared" ca="1" si="2"/>
        <v>615077.96539397282</v>
      </c>
      <c r="Y12" s="3"/>
    </row>
    <row r="13" spans="1:26" x14ac:dyDescent="0.2">
      <c r="A13" s="6">
        <f t="shared" ca="1" si="6"/>
        <v>45962</v>
      </c>
      <c r="B13" s="12">
        <f t="shared" ca="1" si="7"/>
        <v>11</v>
      </c>
      <c r="C13" s="7">
        <f ca="1">(YEAR(A13)-YEAR('ÖNYP kalkulátor'!$C$10))+(MONTH(CF!A13)-MONTH('ÖNYP kalkulátor'!$C$10)-1)/12</f>
        <v>44.416666666666664</v>
      </c>
      <c r="D13" s="4">
        <f ca="1">(1+VLOOKUP(YEAR(A13),'ÖNYP kalkulátor'!$E$15:$F$75,2,FALSE))^(1/12)-1</f>
        <v>2.4662697723036864E-3</v>
      </c>
      <c r="E13" s="4">
        <f t="shared" ca="1" si="8"/>
        <v>1.0291139427070937</v>
      </c>
      <c r="F13" s="8">
        <f t="shared" ca="1" si="9"/>
        <v>631428.03815496212</v>
      </c>
      <c r="G13" s="8">
        <v>10000</v>
      </c>
      <c r="H13" s="8">
        <v>250000</v>
      </c>
      <c r="I13" s="8">
        <v>500000</v>
      </c>
      <c r="J13" s="8">
        <v>750000</v>
      </c>
      <c r="K13" s="8"/>
      <c r="L13" s="4">
        <f ca="1">+IF('ÖNYP kalkulátor'!$C$16="nem",0,
IF(MONTH(A13)=1,VLOOKUP(YEAR(A13),'ÖNYP kalkulátor'!$E$15:$J$75,4),0))</f>
        <v>0</v>
      </c>
      <c r="M13" s="8">
        <f t="shared" ca="1" si="10"/>
        <v>30900</v>
      </c>
      <c r="N13" s="8">
        <f t="shared" ca="1" si="11"/>
        <v>10300</v>
      </c>
      <c r="O13" s="8">
        <f t="shared" ca="1" si="3"/>
        <v>453200</v>
      </c>
      <c r="P13" s="8">
        <f t="shared" ca="1" si="4"/>
        <v>427640</v>
      </c>
      <c r="Q13" s="8">
        <f t="shared" ca="1" si="5"/>
        <v>39140</v>
      </c>
      <c r="R13" s="13">
        <v>150000</v>
      </c>
      <c r="S13" s="13">
        <f ca="1">MIN(IF(AND(MONTH(A13)=5,'ÖNYP kalkulátor'!$IU$6="igen"),(M13+N13)*12/(1+IF('ÖNYP kalkulátor'!$C$16="nem",0,VLOOKUP(YEAR(A13),'ÖNYP kalkulátor'!$E$15:$J$75,4)))*0.2,0),R13)</f>
        <v>0</v>
      </c>
      <c r="T13" s="4">
        <f ca="1">(1+VLOOKUP(YEAR(A13),'ÖNYP kalkulátor'!$E$15:$F$75,2,FALSE)+VLOOKUP(YEAR(A13),'ÖNYP kalkulátor'!$E$15:$I$75,5,FALSE))^(1/12)-1</f>
        <v>4.0741237836483535E-3</v>
      </c>
      <c r="U13" s="8">
        <f t="shared" ca="1" si="0"/>
        <v>2731.977192801548</v>
      </c>
      <c r="V13" s="14">
        <f t="shared" ca="1" si="1"/>
        <v>673300.01534776366</v>
      </c>
      <c r="W13" s="8">
        <f t="shared" ca="1" si="2"/>
        <v>654252.15557437867</v>
      </c>
      <c r="Y13" s="3"/>
    </row>
    <row r="14" spans="1:26" x14ac:dyDescent="0.2">
      <c r="A14" s="6">
        <f t="shared" ca="1" si="6"/>
        <v>45992</v>
      </c>
      <c r="B14" s="12">
        <f t="shared" ca="1" si="7"/>
        <v>12</v>
      </c>
      <c r="C14" s="7">
        <f ca="1">(YEAR(A14)-YEAR('ÖNYP kalkulátor'!$C$10))+(MONTH(CF!A14)-MONTH('ÖNYP kalkulátor'!$C$10)-1)/12</f>
        <v>44.5</v>
      </c>
      <c r="D14" s="4">
        <f ca="1">(1+VLOOKUP(YEAR(A14),'ÖNYP kalkulátor'!$E$15:$F$75,2,FALSE))^(1/12)-1</f>
        <v>2.4662697723036864E-3</v>
      </c>
      <c r="E14" s="4">
        <f t="shared" ca="1" si="8"/>
        <v>1.0316520153162485</v>
      </c>
      <c r="F14" s="8">
        <f t="shared" ca="1" si="9"/>
        <v>673300.01534776366</v>
      </c>
      <c r="G14" s="8">
        <v>10000</v>
      </c>
      <c r="H14" s="8">
        <v>250000</v>
      </c>
      <c r="I14" s="8">
        <v>500000</v>
      </c>
      <c r="J14" s="8">
        <v>750000</v>
      </c>
      <c r="K14" s="8"/>
      <c r="L14" s="4">
        <f ca="1">+IF('ÖNYP kalkulátor'!$C$16="nem",0,
IF(MONTH(A14)=1,VLOOKUP(YEAR(A14),'ÖNYP kalkulátor'!$E$15:$J$75,4),0))</f>
        <v>0</v>
      </c>
      <c r="M14" s="8">
        <f t="shared" ca="1" si="10"/>
        <v>30900</v>
      </c>
      <c r="N14" s="8">
        <f t="shared" ca="1" si="11"/>
        <v>10300</v>
      </c>
      <c r="O14" s="8">
        <f t="shared" ca="1" si="3"/>
        <v>494400</v>
      </c>
      <c r="P14" s="8">
        <f t="shared" ca="1" si="4"/>
        <v>466780</v>
      </c>
      <c r="Q14" s="8">
        <f t="shared" ca="1" si="5"/>
        <v>39140</v>
      </c>
      <c r="R14" s="13">
        <v>150000</v>
      </c>
      <c r="S14" s="13">
        <f ca="1">MIN(IF(AND(MONTH(A14)=5,'ÖNYP kalkulátor'!$IU$6="igen"),(M14+N14)*12/(1+IF('ÖNYP kalkulátor'!$C$16="nem",0,VLOOKUP(YEAR(A14),'ÖNYP kalkulátor'!$E$15:$J$75,4)))*0.2,0),R14)</f>
        <v>0</v>
      </c>
      <c r="T14" s="4">
        <f ca="1">(1+VLOOKUP(YEAR(A14),'ÖNYP kalkulátor'!$E$15:$F$75,2,FALSE)+VLOOKUP(YEAR(A14),'ÖNYP kalkulátor'!$E$15:$I$75,5,FALSE))^(1/12)-1</f>
        <v>4.0741237836483535E-3</v>
      </c>
      <c r="U14" s="8">
        <f t="shared" ca="1" si="0"/>
        <v>2902.568810951122</v>
      </c>
      <c r="V14" s="14">
        <f t="shared" ca="1" si="1"/>
        <v>715342.58415871474</v>
      </c>
      <c r="W14" s="8">
        <f t="shared" ca="1" si="2"/>
        <v>693395.22778853832</v>
      </c>
      <c r="Y14" s="3"/>
    </row>
    <row r="15" spans="1:26" x14ac:dyDescent="0.2">
      <c r="A15" s="6">
        <f t="shared" ca="1" si="6"/>
        <v>46023</v>
      </c>
      <c r="B15" s="12">
        <f t="shared" ca="1" si="7"/>
        <v>1</v>
      </c>
      <c r="C15" s="7">
        <f ca="1">(YEAR(A15)-YEAR('ÖNYP kalkulátor'!$C$10))+(MONTH(CF!A15)-MONTH('ÖNYP kalkulátor'!$C$10)-1)/12</f>
        <v>44.583333333333336</v>
      </c>
      <c r="D15" s="4">
        <f ca="1">(1+VLOOKUP(YEAR(A15),'ÖNYP kalkulátor'!$E$15:$F$75,2,FALSE))^(1/12)-1</f>
        <v>2.4662697723036864E-3</v>
      </c>
      <c r="E15" s="4">
        <f t="shared" ca="1" si="8"/>
        <v>1.0341963474971592</v>
      </c>
      <c r="F15" s="8">
        <f t="shared" ca="1" si="9"/>
        <v>715342.58415871474</v>
      </c>
      <c r="G15" s="8">
        <v>10000</v>
      </c>
      <c r="H15" s="8">
        <v>250000</v>
      </c>
      <c r="I15" s="8">
        <v>500000</v>
      </c>
      <c r="J15" s="8">
        <v>750000</v>
      </c>
      <c r="K15" s="8"/>
      <c r="L15" s="4">
        <f ca="1">+IF('ÖNYP kalkulátor'!$C$16="nem",0,
IF(MONTH(A15)=1,VLOOKUP(YEAR(A15),'ÖNYP kalkulátor'!$E$15:$J$75,4),0))</f>
        <v>0.03</v>
      </c>
      <c r="M15" s="8">
        <f t="shared" ca="1" si="10"/>
        <v>31827</v>
      </c>
      <c r="N15" s="8">
        <f t="shared" ca="1" si="11"/>
        <v>10609</v>
      </c>
      <c r="O15" s="8">
        <f t="shared" ca="1" si="3"/>
        <v>42436</v>
      </c>
      <c r="P15" s="8">
        <f t="shared" ca="1" si="4"/>
        <v>39489.839999999997</v>
      </c>
      <c r="Q15" s="8">
        <f t="shared" ca="1" si="5"/>
        <v>39489.839999999997</v>
      </c>
      <c r="R15" s="13">
        <v>150000</v>
      </c>
      <c r="S15" s="13">
        <f ca="1">MIN(IF(AND(MONTH(A15)=5,'ÖNYP kalkulátor'!$IU$6="igen"),(M15+N15)*12/(1+IF('ÖNYP kalkulátor'!$C$16="nem",0,VLOOKUP(YEAR(A15),'ÖNYP kalkulátor'!$E$15:$J$75,4)))*0.2,0),R15)</f>
        <v>0</v>
      </c>
      <c r="T15" s="4">
        <f ca="1">(1+VLOOKUP(YEAR(A15),'ÖNYP kalkulátor'!$E$15:$F$75,2,FALSE)+VLOOKUP(YEAR(A15),'ÖNYP kalkulátor'!$E$15:$I$75,5,FALSE))^(1/12)-1</f>
        <v>4.0741237836483535E-3</v>
      </c>
      <c r="U15" s="8">
        <f t="shared" ca="1" si="0"/>
        <v>3075.2807319339618</v>
      </c>
      <c r="V15" s="14">
        <f t="shared" ca="1" si="1"/>
        <v>757907.70489064872</v>
      </c>
      <c r="W15" s="8">
        <f t="shared" ca="1" si="2"/>
        <v>732847.013746324</v>
      </c>
      <c r="Y15" s="3"/>
    </row>
    <row r="16" spans="1:26" x14ac:dyDescent="0.2">
      <c r="A16" s="6">
        <f t="shared" ca="1" si="6"/>
        <v>46054</v>
      </c>
      <c r="B16" s="12">
        <f t="shared" ca="1" si="7"/>
        <v>2</v>
      </c>
      <c r="C16" s="7">
        <f ca="1">(YEAR(A16)-YEAR('ÖNYP kalkulátor'!$C$10))+(MONTH(CF!A16)-MONTH('ÖNYP kalkulátor'!$C$10)-1)/12</f>
        <v>44.666666666666664</v>
      </c>
      <c r="D16" s="4">
        <f ca="1">(1+VLOOKUP(YEAR(A16),'ÖNYP kalkulátor'!$E$15:$F$75,2,FALSE))^(1/12)-1</f>
        <v>2.4662697723036864E-3</v>
      </c>
      <c r="E16" s="4">
        <f t="shared" ca="1" si="8"/>
        <v>1.0367469546876182</v>
      </c>
      <c r="F16" s="8">
        <f t="shared" ca="1" si="9"/>
        <v>757907.70489064872</v>
      </c>
      <c r="G16" s="8">
        <v>10000</v>
      </c>
      <c r="H16" s="8">
        <v>250000</v>
      </c>
      <c r="I16" s="8">
        <v>500000</v>
      </c>
      <c r="J16" s="8">
        <v>750000</v>
      </c>
      <c r="K16" s="8"/>
      <c r="L16" s="4">
        <f ca="1">+IF('ÖNYP kalkulátor'!$C$16="nem",0,
IF(MONTH(A16)=1,VLOOKUP(YEAR(A16),'ÖNYP kalkulátor'!$E$15:$J$75,4),0))</f>
        <v>0</v>
      </c>
      <c r="M16" s="8">
        <f t="shared" ca="1" si="10"/>
        <v>31827</v>
      </c>
      <c r="N16" s="8">
        <f t="shared" ca="1" si="11"/>
        <v>10609</v>
      </c>
      <c r="O16" s="8">
        <f t="shared" ca="1" si="3"/>
        <v>84872</v>
      </c>
      <c r="P16" s="8">
        <f t="shared" ca="1" si="4"/>
        <v>79379.679999999993</v>
      </c>
      <c r="Q16" s="8">
        <f t="shared" ca="1" si="5"/>
        <v>39889.839999999997</v>
      </c>
      <c r="R16" s="13">
        <v>150000</v>
      </c>
      <c r="S16" s="13">
        <f ca="1">MIN(IF(AND(MONTH(A16)=5,'ÖNYP kalkulátor'!$IU$6="igen"),(M16+N16)*12/(1+IF('ÖNYP kalkulátor'!$C$16="nem",0,VLOOKUP(YEAR(A16),'ÖNYP kalkulátor'!$E$15:$J$75,4)))*0.2,0),R16)</f>
        <v>0</v>
      </c>
      <c r="T16" s="4">
        <f ca="1">(1+VLOOKUP(YEAR(A16),'ÖNYP kalkulátor'!$E$15:$F$75,2,FALSE)+VLOOKUP(YEAR(A16),'ÖNYP kalkulátor'!$E$15:$I$75,5,FALSE))^(1/12)-1</f>
        <v>4.0741237836483535E-3</v>
      </c>
      <c r="U16" s="8">
        <f t="shared" ca="1" si="0"/>
        <v>3250.3259521752566</v>
      </c>
      <c r="V16" s="14">
        <f t="shared" ca="1" si="1"/>
        <v>801047.87084282399</v>
      </c>
      <c r="W16" s="8">
        <f t="shared" ca="1" si="2"/>
        <v>772655.14716094569</v>
      </c>
      <c r="Y16" s="3"/>
    </row>
    <row r="17" spans="1:25" x14ac:dyDescent="0.2">
      <c r="A17" s="6">
        <f t="shared" ca="1" si="6"/>
        <v>46082</v>
      </c>
      <c r="B17" s="12">
        <f t="shared" ca="1" si="7"/>
        <v>3</v>
      </c>
      <c r="C17" s="7">
        <f ca="1">(YEAR(A17)-YEAR('ÖNYP kalkulátor'!$C$10))+(MONTH(CF!A17)-MONTH('ÖNYP kalkulátor'!$C$10)-1)/12</f>
        <v>44.75</v>
      </c>
      <c r="D17" s="4">
        <f ca="1">(1+VLOOKUP(YEAR(A17),'ÖNYP kalkulátor'!$E$15:$F$75,2,FALSE))^(1/12)-1</f>
        <v>2.4662697723036864E-3</v>
      </c>
      <c r="E17" s="4">
        <f t="shared" ca="1" si="8"/>
        <v>1.0393038523634923</v>
      </c>
      <c r="F17" s="8">
        <f t="shared" ca="1" si="9"/>
        <v>801047.87084282399</v>
      </c>
      <c r="G17" s="8">
        <v>10000</v>
      </c>
      <c r="H17" s="8">
        <v>250000</v>
      </c>
      <c r="I17" s="8">
        <v>500000</v>
      </c>
      <c r="J17" s="8">
        <v>750000</v>
      </c>
      <c r="K17" s="8"/>
      <c r="L17" s="4">
        <f ca="1">+IF('ÖNYP kalkulátor'!$C$16="nem",0,
IF(MONTH(A17)=1,VLOOKUP(YEAR(A17),'ÖNYP kalkulátor'!$E$15:$J$75,4),0))</f>
        <v>0</v>
      </c>
      <c r="M17" s="8">
        <f t="shared" ca="1" si="10"/>
        <v>31827</v>
      </c>
      <c r="N17" s="8">
        <f t="shared" ca="1" si="11"/>
        <v>10609</v>
      </c>
      <c r="O17" s="8">
        <f t="shared" ca="1" si="3"/>
        <v>127308</v>
      </c>
      <c r="P17" s="8">
        <f t="shared" ca="1" si="4"/>
        <v>119269.51999999999</v>
      </c>
      <c r="Q17" s="8">
        <f t="shared" ca="1" si="5"/>
        <v>39889.839999999997</v>
      </c>
      <c r="R17" s="13">
        <v>150000</v>
      </c>
      <c r="S17" s="13">
        <f ca="1">MIN(IF(AND(MONTH(A17)=5,'ÖNYP kalkulátor'!$IU$6="igen"),(M17+N17)*12/(1+IF('ÖNYP kalkulátor'!$C$16="nem",0,VLOOKUP(YEAR(A17),'ÖNYP kalkulátor'!$E$15:$J$75,4)))*0.2,0),R17)</f>
        <v>0</v>
      </c>
      <c r="T17" s="4">
        <f ca="1">(1+VLOOKUP(YEAR(A17),'ÖNYP kalkulátor'!$E$15:$F$75,2,FALSE)+VLOOKUP(YEAR(A17),'ÖNYP kalkulátor'!$E$15:$I$75,5,FALSE))^(1/12)-1</f>
        <v>4.0741237836483535E-3</v>
      </c>
      <c r="U17" s="8">
        <f t="shared" ca="1" si="0"/>
        <v>3426.084328311551</v>
      </c>
      <c r="V17" s="14">
        <f t="shared" ca="1" si="1"/>
        <v>844363.79517113545</v>
      </c>
      <c r="W17" s="8">
        <f t="shared" ca="1" si="2"/>
        <v>812432.0844678469</v>
      </c>
      <c r="Y17" s="3"/>
    </row>
    <row r="18" spans="1:25" x14ac:dyDescent="0.2">
      <c r="A18" s="6">
        <f t="shared" ca="1" si="6"/>
        <v>46113</v>
      </c>
      <c r="B18" s="12">
        <f t="shared" ca="1" si="7"/>
        <v>4</v>
      </c>
      <c r="C18" s="7">
        <f ca="1">(YEAR(A18)-YEAR('ÖNYP kalkulátor'!$C$10))+(MONTH(CF!A18)-MONTH('ÖNYP kalkulátor'!$C$10)-1)/12</f>
        <v>44.833333333333336</v>
      </c>
      <c r="D18" s="4">
        <f ca="1">(1+VLOOKUP(YEAR(A18),'ÖNYP kalkulátor'!$E$15:$F$75,2,FALSE))^(1/12)-1</f>
        <v>2.4662697723036864E-3</v>
      </c>
      <c r="E18" s="4">
        <f t="shared" ca="1" si="8"/>
        <v>1.0418670560388152</v>
      </c>
      <c r="F18" s="8">
        <f t="shared" ca="1" si="9"/>
        <v>844363.79517113545</v>
      </c>
      <c r="G18" s="8">
        <v>10000</v>
      </c>
      <c r="H18" s="8">
        <v>250000</v>
      </c>
      <c r="I18" s="8">
        <v>500000</v>
      </c>
      <c r="J18" s="8">
        <v>750000</v>
      </c>
      <c r="K18" s="8"/>
      <c r="L18" s="4">
        <f ca="1">+IF('ÖNYP kalkulátor'!$C$16="nem",0,
IF(MONTH(A18)=1,VLOOKUP(YEAR(A18),'ÖNYP kalkulátor'!$E$15:$J$75,4),0))</f>
        <v>0</v>
      </c>
      <c r="M18" s="8">
        <f t="shared" ca="1" si="10"/>
        <v>31827</v>
      </c>
      <c r="N18" s="8">
        <f t="shared" ca="1" si="11"/>
        <v>10609</v>
      </c>
      <c r="O18" s="8">
        <f t="shared" ca="1" si="3"/>
        <v>169744</v>
      </c>
      <c r="P18" s="8">
        <f t="shared" ca="1" si="4"/>
        <v>159159.35999999999</v>
      </c>
      <c r="Q18" s="8">
        <f t="shared" ca="1" si="5"/>
        <v>39889.839999999997</v>
      </c>
      <c r="R18" s="13">
        <v>150000</v>
      </c>
      <c r="S18" s="13">
        <f ca="1">MIN(IF(AND(MONTH(A18)=5,'ÖNYP kalkulátor'!$IU$6="igen"),(M18+N18)*12/(1+IF('ÖNYP kalkulátor'!$C$16="nem",0,VLOOKUP(YEAR(A18),'ÖNYP kalkulátor'!$E$15:$J$75,4)))*0.2,0),R18)</f>
        <v>0</v>
      </c>
      <c r="T18" s="4">
        <f ca="1">(1+VLOOKUP(YEAR(A18),'ÖNYP kalkulátor'!$E$15:$F$75,2,FALSE)+VLOOKUP(YEAR(A18),'ÖNYP kalkulátor'!$E$15:$I$75,5,FALSE))^(1/12)-1</f>
        <v>4.0741237836483535E-3</v>
      </c>
      <c r="U18" s="8">
        <f t="shared" ca="1" si="0"/>
        <v>3602.558765828237</v>
      </c>
      <c r="V18" s="14">
        <f t="shared" ca="1" si="1"/>
        <v>887856.19393696368</v>
      </c>
      <c r="W18" s="8">
        <f t="shared" ca="1" si="2"/>
        <v>852178.00945986167</v>
      </c>
      <c r="Y18" s="3"/>
    </row>
    <row r="19" spans="1:25" x14ac:dyDescent="0.2">
      <c r="A19" s="6">
        <f t="shared" ca="1" si="6"/>
        <v>46143</v>
      </c>
      <c r="B19" s="12">
        <f t="shared" ca="1" si="7"/>
        <v>5</v>
      </c>
      <c r="C19" s="7">
        <f ca="1">(YEAR(A19)-YEAR('ÖNYP kalkulátor'!$C$10))+(MONTH(CF!A19)-MONTH('ÖNYP kalkulátor'!$C$10)-1)/12</f>
        <v>44.916666666666664</v>
      </c>
      <c r="D19" s="4">
        <f ca="1">(1+VLOOKUP(YEAR(A19),'ÖNYP kalkulátor'!$E$15:$F$75,2,FALSE))^(1/12)-1</f>
        <v>2.4662697723036864E-3</v>
      </c>
      <c r="E19" s="4">
        <f t="shared" ca="1" si="8"/>
        <v>1.0444365812658829</v>
      </c>
      <c r="F19" s="8">
        <f t="shared" ca="1" si="9"/>
        <v>887856.19393696368</v>
      </c>
      <c r="G19" s="8">
        <v>10000</v>
      </c>
      <c r="H19" s="8">
        <v>250000</v>
      </c>
      <c r="I19" s="8">
        <v>500000</v>
      </c>
      <c r="J19" s="8">
        <v>750000</v>
      </c>
      <c r="K19" s="8"/>
      <c r="L19" s="4">
        <f ca="1">+IF('ÖNYP kalkulátor'!$C$16="nem",0,
IF(MONTH(A19)=1,VLOOKUP(YEAR(A19),'ÖNYP kalkulátor'!$E$15:$J$75,4),0))</f>
        <v>0</v>
      </c>
      <c r="M19" s="8">
        <f t="shared" ca="1" si="10"/>
        <v>31827</v>
      </c>
      <c r="N19" s="8">
        <f t="shared" ca="1" si="11"/>
        <v>10609</v>
      </c>
      <c r="O19" s="8">
        <f t="shared" ca="1" si="3"/>
        <v>212180</v>
      </c>
      <c r="P19" s="8">
        <f t="shared" ca="1" si="4"/>
        <v>199049.19999999998</v>
      </c>
      <c r="Q19" s="8">
        <f t="shared" ca="1" si="5"/>
        <v>39889.839999999997</v>
      </c>
      <c r="R19" s="13">
        <v>150000</v>
      </c>
      <c r="S19" s="13">
        <f ca="1">MIN(IF(AND(MONTH(A19)=5,'ÖNYP kalkulátor'!$IU$6="igen"),(M19+N19)*12/(1+IF('ÖNYP kalkulátor'!$C$16="nem",0,VLOOKUP(YEAR(A19),'ÖNYP kalkulátor'!$E$15:$J$75,4)))*0.2,0),R19)</f>
        <v>98880</v>
      </c>
      <c r="T19" s="4">
        <f ca="1">(1+VLOOKUP(YEAR(A19),'ÖNYP kalkulátor'!$E$15:$F$75,2,FALSE)+VLOOKUP(YEAR(A19),'ÖNYP kalkulátor'!$E$15:$I$75,5,FALSE))^(1/12)-1</f>
        <v>4.0741237836483535E-3</v>
      </c>
      <c r="U19" s="8">
        <f t="shared" ca="1" si="0"/>
        <v>4182.6015417751651</v>
      </c>
      <c r="V19" s="14">
        <f t="shared" ca="1" si="1"/>
        <v>1030808.6354787388</v>
      </c>
      <c r="W19" s="8">
        <f t="shared" ca="1" si="2"/>
        <v>986951.86856570398</v>
      </c>
      <c r="Y19" s="3"/>
    </row>
    <row r="20" spans="1:25" x14ac:dyDescent="0.2">
      <c r="A20" s="6">
        <f t="shared" ca="1" si="6"/>
        <v>46174</v>
      </c>
      <c r="B20" s="12">
        <f t="shared" ca="1" si="7"/>
        <v>6</v>
      </c>
      <c r="C20" s="7">
        <f ca="1">(YEAR(A20)-YEAR('ÖNYP kalkulátor'!$C$10))+(MONTH(CF!A20)-MONTH('ÖNYP kalkulátor'!$C$10)-1)/12</f>
        <v>45</v>
      </c>
      <c r="D20" s="4">
        <f ca="1">(1+VLOOKUP(YEAR(A20),'ÖNYP kalkulátor'!$E$15:$F$75,2,FALSE))^(1/12)-1</f>
        <v>2.4662697723036864E-3</v>
      </c>
      <c r="E20" s="4">
        <f t="shared" ca="1" si="8"/>
        <v>1.0470124436353472</v>
      </c>
      <c r="F20" s="8">
        <f t="shared" ca="1" si="9"/>
        <v>1030808.6354787388</v>
      </c>
      <c r="G20" s="8">
        <v>10000</v>
      </c>
      <c r="H20" s="8">
        <v>250000</v>
      </c>
      <c r="I20" s="8">
        <v>500000</v>
      </c>
      <c r="J20" s="8">
        <v>750000</v>
      </c>
      <c r="K20" s="8"/>
      <c r="L20" s="4">
        <f ca="1">+IF('ÖNYP kalkulátor'!$C$16="nem",0,
IF(MONTH(A20)=1,VLOOKUP(YEAR(A20),'ÖNYP kalkulátor'!$E$15:$J$75,4),0))</f>
        <v>0</v>
      </c>
      <c r="M20" s="8">
        <f t="shared" ca="1" si="10"/>
        <v>31827</v>
      </c>
      <c r="N20" s="8">
        <f t="shared" ca="1" si="11"/>
        <v>10609</v>
      </c>
      <c r="O20" s="8">
        <f t="shared" ca="1" si="3"/>
        <v>254616</v>
      </c>
      <c r="P20" s="8">
        <f t="shared" ca="1" si="4"/>
        <v>238985.2</v>
      </c>
      <c r="Q20" s="8">
        <f t="shared" ca="1" si="5"/>
        <v>39936.000000000029</v>
      </c>
      <c r="R20" s="13">
        <v>150000</v>
      </c>
      <c r="S20" s="13">
        <f ca="1">MIN(IF(AND(MONTH(A20)=5,'ÖNYP kalkulátor'!$IU$6="igen"),(M20+N20)*12/(1+IF('ÖNYP kalkulátor'!$C$16="nem",0,VLOOKUP(YEAR(A20),'ÖNYP kalkulátor'!$E$15:$J$75,4)))*0.2,0),R20)</f>
        <v>0</v>
      </c>
      <c r="T20" s="4">
        <f ca="1">(1+VLOOKUP(YEAR(A20),'ÖNYP kalkulátor'!$E$15:$F$75,2,FALSE)+VLOOKUP(YEAR(A20),'ÖNYP kalkulátor'!$E$15:$I$75,5,FALSE))^(1/12)-1</f>
        <v>4.0741237836483535E-3</v>
      </c>
      <c r="U20" s="8">
        <f t="shared" ca="1" si="0"/>
        <v>4362.3461856178164</v>
      </c>
      <c r="V20" s="14">
        <f t="shared" ca="1" si="1"/>
        <v>1075106.9816643568</v>
      </c>
      <c r="W20" s="8">
        <f t="shared" ca="1" si="2"/>
        <v>1026833.0507433724</v>
      </c>
      <c r="Y20" s="3"/>
    </row>
    <row r="21" spans="1:25" x14ac:dyDescent="0.2">
      <c r="A21" s="6">
        <f t="shared" ca="1" si="6"/>
        <v>46204</v>
      </c>
      <c r="B21" s="12">
        <f t="shared" ca="1" si="7"/>
        <v>7</v>
      </c>
      <c r="C21" s="7">
        <f ca="1">(YEAR(A21)-YEAR('ÖNYP kalkulátor'!$C$10))+(MONTH(CF!A21)-MONTH('ÖNYP kalkulátor'!$C$10)-1)/12</f>
        <v>45.083333333333336</v>
      </c>
      <c r="D21" s="4">
        <f ca="1">(1+VLOOKUP(YEAR(A21),'ÖNYP kalkulátor'!$E$15:$F$75,2,FALSE))^(1/12)-1</f>
        <v>2.4662697723036864E-3</v>
      </c>
      <c r="E21" s="4">
        <f t="shared" ref="E21:E38" ca="1" si="12">E20*(1+D20)</f>
        <v>1.0495946587763108</v>
      </c>
      <c r="F21" s="8">
        <f t="shared" ca="1" si="9"/>
        <v>1075106.9816643568</v>
      </c>
      <c r="G21" s="8">
        <v>10000</v>
      </c>
      <c r="H21" s="8">
        <v>250000</v>
      </c>
      <c r="I21" s="8">
        <v>500000</v>
      </c>
      <c r="J21" s="8">
        <v>750000</v>
      </c>
      <c r="K21" s="8"/>
      <c r="L21" s="4">
        <f ca="1">+IF('ÖNYP kalkulátor'!$C$16="nem",0,
IF(MONTH(A21)=1,VLOOKUP(YEAR(A21),'ÖNYP kalkulátor'!$E$15:$J$75,4),0))</f>
        <v>0</v>
      </c>
      <c r="M21" s="8">
        <f t="shared" ca="1" si="10"/>
        <v>31827</v>
      </c>
      <c r="N21" s="8">
        <f t="shared" ca="1" si="11"/>
        <v>10609</v>
      </c>
      <c r="O21" s="8">
        <f t="shared" ca="1" si="3"/>
        <v>297052</v>
      </c>
      <c r="P21" s="8">
        <f t="shared" ca="1" si="4"/>
        <v>279299.40000000002</v>
      </c>
      <c r="Q21" s="8">
        <f t="shared" ca="1" si="5"/>
        <v>40314.200000000012</v>
      </c>
      <c r="R21" s="13">
        <v>150000</v>
      </c>
      <c r="S21" s="13">
        <f ca="1">MIN(IF(AND(MONTH(A21)=5,'ÖNYP kalkulátor'!$IU$6="igen"),(M21+N21)*12/(1+IF('ÖNYP kalkulátor'!$C$16="nem",0,VLOOKUP(YEAR(A21),'ÖNYP kalkulátor'!$E$15:$J$75,4)))*0.2,0),R21)</f>
        <v>0</v>
      </c>
      <c r="T21" s="4">
        <f ca="1">(1+VLOOKUP(YEAR(A21),'ÖNYP kalkulátor'!$E$15:$F$75,2,FALSE)+VLOOKUP(YEAR(A21),'ÖNYP kalkulátor'!$E$15:$I$75,5,FALSE))^(1/12)-1</f>
        <v>4.0741237836483535E-3</v>
      </c>
      <c r="U21" s="8">
        <f t="shared" ca="1" si="0"/>
        <v>4544.3639650039067</v>
      </c>
      <c r="V21" s="14">
        <f t="shared" ca="1" si="1"/>
        <v>1119965.5456293607</v>
      </c>
      <c r="W21" s="8">
        <f t="shared" ca="1" si="2"/>
        <v>1067045.7745422344</v>
      </c>
      <c r="Y21" s="3"/>
    </row>
    <row r="22" spans="1:25" x14ac:dyDescent="0.2">
      <c r="A22" s="6">
        <f t="shared" ca="1" si="6"/>
        <v>46235</v>
      </c>
      <c r="B22" s="12">
        <f t="shared" ca="1" si="7"/>
        <v>8</v>
      </c>
      <c r="C22" s="7">
        <f ca="1">(YEAR(A22)-YEAR('ÖNYP kalkulátor'!$C$10))+(MONTH(CF!A22)-MONTH('ÖNYP kalkulátor'!$C$10)-1)/12</f>
        <v>45.166666666666664</v>
      </c>
      <c r="D22" s="4">
        <f ca="1">(1+VLOOKUP(YEAR(A22),'ÖNYP kalkulátor'!$E$15:$F$75,2,FALSE))^(1/12)-1</f>
        <v>2.4662697723036864E-3</v>
      </c>
      <c r="E22" s="4">
        <f t="shared" ca="1" si="12"/>
        <v>1.0521832423564221</v>
      </c>
      <c r="F22" s="8">
        <f t="shared" ca="1" si="9"/>
        <v>1119965.5456293607</v>
      </c>
      <c r="G22" s="8">
        <v>10000</v>
      </c>
      <c r="H22" s="8">
        <v>250000</v>
      </c>
      <c r="I22" s="8">
        <v>500000</v>
      </c>
      <c r="J22" s="8">
        <v>750000</v>
      </c>
      <c r="K22" s="8"/>
      <c r="L22" s="4">
        <f ca="1">+IF('ÖNYP kalkulátor'!$C$16="nem",0,
IF(MONTH(A22)=1,VLOOKUP(YEAR(A22),'ÖNYP kalkulátor'!$E$15:$J$75,4),0))</f>
        <v>0</v>
      </c>
      <c r="M22" s="8">
        <f t="shared" ca="1" si="10"/>
        <v>31827</v>
      </c>
      <c r="N22" s="8">
        <f t="shared" ca="1" si="11"/>
        <v>10609</v>
      </c>
      <c r="O22" s="8">
        <f t="shared" ca="1" si="3"/>
        <v>339488</v>
      </c>
      <c r="P22" s="8">
        <f t="shared" ca="1" si="4"/>
        <v>319613.59999999998</v>
      </c>
      <c r="Q22" s="8">
        <f t="shared" ca="1" si="5"/>
        <v>40314.199999999953</v>
      </c>
      <c r="R22" s="13">
        <v>150000</v>
      </c>
      <c r="S22" s="13">
        <f ca="1">MIN(IF(AND(MONTH(A22)=5,'ÖNYP kalkulátor'!$IU$6="igen"),(M22+N22)*12/(1+IF('ÖNYP kalkulátor'!$C$16="nem",0,VLOOKUP(YEAR(A22),'ÖNYP kalkulátor'!$E$15:$J$75,4)))*0.2,0),R22)</f>
        <v>0</v>
      </c>
      <c r="T22" s="4">
        <f ca="1">(1+VLOOKUP(YEAR(A22),'ÖNYP kalkulátor'!$E$15:$F$75,2,FALSE)+VLOOKUP(YEAR(A22),'ÖNYP kalkulátor'!$E$15:$I$75,5,FALSE))^(1/12)-1</f>
        <v>4.0741237836483535E-3</v>
      </c>
      <c r="U22" s="8">
        <f t="shared" ca="1" si="0"/>
        <v>4727.1233073540398</v>
      </c>
      <c r="V22" s="14">
        <f t="shared" ca="1" si="1"/>
        <v>1165006.8689367147</v>
      </c>
      <c r="W22" s="8">
        <f t="shared" ca="1" si="2"/>
        <v>1107228.1158247853</v>
      </c>
      <c r="Y22" s="3"/>
    </row>
    <row r="23" spans="1:25" x14ac:dyDescent="0.2">
      <c r="A23" s="6">
        <f t="shared" ca="1" si="6"/>
        <v>46266</v>
      </c>
      <c r="B23" s="12">
        <f t="shared" ca="1" si="7"/>
        <v>9</v>
      </c>
      <c r="C23" s="7">
        <f ca="1">(YEAR(A23)-YEAR('ÖNYP kalkulátor'!$C$10))+(MONTH(CF!A23)-MONTH('ÖNYP kalkulátor'!$C$10)-1)/12</f>
        <v>45.25</v>
      </c>
      <c r="D23" s="4">
        <f ca="1">(1+VLOOKUP(YEAR(A23),'ÖNYP kalkulátor'!$E$15:$F$75,2,FALSE))^(1/12)-1</f>
        <v>2.4662697723036864E-3</v>
      </c>
      <c r="E23" s="4">
        <f t="shared" ca="1" si="12"/>
        <v>1.0547782100819703</v>
      </c>
      <c r="F23" s="8">
        <f t="shared" ca="1" si="9"/>
        <v>1165006.8689367147</v>
      </c>
      <c r="G23" s="8">
        <v>10000</v>
      </c>
      <c r="H23" s="8">
        <v>250000</v>
      </c>
      <c r="I23" s="8">
        <v>500000</v>
      </c>
      <c r="J23" s="8">
        <v>750000</v>
      </c>
      <c r="K23" s="8"/>
      <c r="L23" s="4">
        <f ca="1">+IF('ÖNYP kalkulátor'!$C$16="nem",0,
IF(MONTH(A23)=1,VLOOKUP(YEAR(A23),'ÖNYP kalkulátor'!$E$15:$J$75,4),0))</f>
        <v>0</v>
      </c>
      <c r="M23" s="8">
        <f t="shared" ca="1" si="10"/>
        <v>31827</v>
      </c>
      <c r="N23" s="8">
        <f t="shared" ca="1" si="11"/>
        <v>10609</v>
      </c>
      <c r="O23" s="8">
        <f t="shared" ca="1" si="3"/>
        <v>381924</v>
      </c>
      <c r="P23" s="8">
        <f t="shared" ca="1" si="4"/>
        <v>359927.8</v>
      </c>
      <c r="Q23" s="8">
        <f t="shared" ca="1" si="5"/>
        <v>40314.200000000012</v>
      </c>
      <c r="R23" s="13">
        <v>150000</v>
      </c>
      <c r="S23" s="13">
        <f ca="1">MIN(IF(AND(MONTH(A23)=5,'ÖNYP kalkulátor'!$IU$6="igen"),(M23+N23)*12/(1+IF('ÖNYP kalkulátor'!$C$16="nem",0,VLOOKUP(YEAR(A23),'ÖNYP kalkulátor'!$E$15:$J$75,4)))*0.2,0),R23)</f>
        <v>0</v>
      </c>
      <c r="T23" s="4">
        <f ca="1">(1+VLOOKUP(YEAR(A23),'ÖNYP kalkulátor'!$E$15:$F$75,2,FALSE)+VLOOKUP(YEAR(A23),'ÖNYP kalkulátor'!$E$15:$I$75,5,FALSE))^(1/12)-1</f>
        <v>4.0741237836483535E-3</v>
      </c>
      <c r="U23" s="8">
        <f t="shared" ca="1" si="0"/>
        <v>4910.627233887526</v>
      </c>
      <c r="V23" s="14">
        <f t="shared" ca="1" si="1"/>
        <v>1210231.6961706022</v>
      </c>
      <c r="W23" s="8">
        <f t="shared" ca="1" si="2"/>
        <v>1147380.2592836565</v>
      </c>
      <c r="Y23" s="3"/>
    </row>
    <row r="24" spans="1:25" x14ac:dyDescent="0.2">
      <c r="A24" s="6">
        <f t="shared" ca="1" si="6"/>
        <v>46296</v>
      </c>
      <c r="B24" s="12">
        <f t="shared" ca="1" si="7"/>
        <v>10</v>
      </c>
      <c r="C24" s="7">
        <f ca="1">(YEAR(A24)-YEAR('ÖNYP kalkulátor'!$C$10))+(MONTH(CF!A24)-MONTH('ÖNYP kalkulátor'!$C$10)-1)/12</f>
        <v>45.333333333333336</v>
      </c>
      <c r="D24" s="4">
        <f ca="1">(1+VLOOKUP(YEAR(A24),'ÖNYP kalkulátor'!$E$15:$F$75,2,FALSE))^(1/12)-1</f>
        <v>2.4662697723036864E-3</v>
      </c>
      <c r="E24" s="4">
        <f t="shared" ca="1" si="12"/>
        <v>1.05737957769798</v>
      </c>
      <c r="F24" s="8">
        <f t="shared" ca="1" si="9"/>
        <v>1210231.6961706022</v>
      </c>
      <c r="G24" s="8">
        <v>10000</v>
      </c>
      <c r="H24" s="8">
        <v>250000</v>
      </c>
      <c r="I24" s="8">
        <v>500000</v>
      </c>
      <c r="J24" s="8">
        <v>750000</v>
      </c>
      <c r="K24" s="8"/>
      <c r="L24" s="4">
        <f ca="1">+IF('ÖNYP kalkulátor'!$C$16="nem",0,
IF(MONTH(A24)=1,VLOOKUP(YEAR(A24),'ÖNYP kalkulátor'!$E$15:$J$75,4),0))</f>
        <v>0</v>
      </c>
      <c r="M24" s="8">
        <f t="shared" ca="1" si="10"/>
        <v>31827</v>
      </c>
      <c r="N24" s="8">
        <f t="shared" ca="1" si="11"/>
        <v>10609</v>
      </c>
      <c r="O24" s="8">
        <f t="shared" ca="1" si="3"/>
        <v>424360</v>
      </c>
      <c r="P24" s="8">
        <f t="shared" ca="1" si="4"/>
        <v>400242</v>
      </c>
      <c r="Q24" s="8">
        <f t="shared" ca="1" si="5"/>
        <v>40314.200000000012</v>
      </c>
      <c r="R24" s="13">
        <v>150000</v>
      </c>
      <c r="S24" s="13">
        <f ca="1">MIN(IF(AND(MONTH(A24)=5,'ÖNYP kalkulátor'!$IU$6="igen"),(M24+N24)*12/(1+IF('ÖNYP kalkulátor'!$C$16="nem",0,VLOOKUP(YEAR(A24),'ÖNYP kalkulátor'!$E$15:$J$75,4)))*0.2,0),R24)</f>
        <v>0</v>
      </c>
      <c r="T24" s="4">
        <f ca="1">(1+VLOOKUP(YEAR(A24),'ÖNYP kalkulátor'!$E$15:$F$75,2,FALSE)+VLOOKUP(YEAR(A24),'ÖNYP kalkulátor'!$E$15:$I$75,5,FALSE))^(1/12)-1</f>
        <v>4.0741237836483535E-3</v>
      </c>
      <c r="U24" s="8">
        <f t="shared" ca="1" si="0"/>
        <v>5094.8787781324945</v>
      </c>
      <c r="V24" s="14">
        <f t="shared" ca="1" si="1"/>
        <v>1255640.7749487348</v>
      </c>
      <c r="W24" s="8">
        <f t="shared" ca="1" si="2"/>
        <v>1187502.3893334398</v>
      </c>
      <c r="Y24" s="3"/>
    </row>
    <row r="25" spans="1:25" x14ac:dyDescent="0.2">
      <c r="A25" s="6">
        <f t="shared" ca="1" si="6"/>
        <v>46327</v>
      </c>
      <c r="B25" s="12">
        <f t="shared" ca="1" si="7"/>
        <v>11</v>
      </c>
      <c r="C25" s="7">
        <f ca="1">(YEAR(A25)-YEAR('ÖNYP kalkulátor'!$C$10))+(MONTH(CF!A25)-MONTH('ÖNYP kalkulátor'!$C$10)-1)/12</f>
        <v>45.416666666666664</v>
      </c>
      <c r="D25" s="4">
        <f ca="1">(1+VLOOKUP(YEAR(A25),'ÖNYP kalkulátor'!$E$15:$F$75,2,FALSE))^(1/12)-1</f>
        <v>2.4662697723036864E-3</v>
      </c>
      <c r="E25" s="4">
        <f t="shared" ca="1" si="12"/>
        <v>1.0599873609883077</v>
      </c>
      <c r="F25" s="8">
        <f t="shared" ca="1" si="9"/>
        <v>1255640.7749487348</v>
      </c>
      <c r="G25" s="8">
        <v>10000</v>
      </c>
      <c r="H25" s="8">
        <v>250000</v>
      </c>
      <c r="I25" s="8">
        <v>500000</v>
      </c>
      <c r="J25" s="8">
        <v>750000</v>
      </c>
      <c r="K25" s="8"/>
      <c r="L25" s="4">
        <f ca="1">+IF('ÖNYP kalkulátor'!$C$16="nem",0,
IF(MONTH(A25)=1,VLOOKUP(YEAR(A25),'ÖNYP kalkulátor'!$E$15:$J$75,4),0))</f>
        <v>0</v>
      </c>
      <c r="M25" s="8">
        <f t="shared" ca="1" si="10"/>
        <v>31827</v>
      </c>
      <c r="N25" s="8">
        <f t="shared" ca="1" si="11"/>
        <v>10609</v>
      </c>
      <c r="O25" s="8">
        <f t="shared" ca="1" si="3"/>
        <v>466796</v>
      </c>
      <c r="P25" s="8">
        <f t="shared" ca="1" si="4"/>
        <v>440556.19999999995</v>
      </c>
      <c r="Q25" s="8">
        <f t="shared" ca="1" si="5"/>
        <v>40314.199999999953</v>
      </c>
      <c r="R25" s="13">
        <v>150000</v>
      </c>
      <c r="S25" s="13">
        <f ca="1">MIN(IF(AND(MONTH(A25)=5,'ÖNYP kalkulátor'!$IU$6="igen"),(M25+N25)*12/(1+IF('ÖNYP kalkulátor'!$C$16="nem",0,VLOOKUP(YEAR(A25),'ÖNYP kalkulátor'!$E$15:$J$75,4)))*0.2,0),R25)</f>
        <v>0</v>
      </c>
      <c r="T25" s="4">
        <f ca="1">(1+VLOOKUP(YEAR(A25),'ÖNYP kalkulátor'!$E$15:$F$75,2,FALSE)+VLOOKUP(YEAR(A25),'ÖNYP kalkulátor'!$E$15:$I$75,5,FALSE))^(1/12)-1</f>
        <v>4.0741237836483535E-3</v>
      </c>
      <c r="U25" s="8">
        <f t="shared" ca="1" si="0"/>
        <v>5279.8809859760468</v>
      </c>
      <c r="V25" s="14">
        <f t="shared" ca="1" si="1"/>
        <v>1301234.8559347107</v>
      </c>
      <c r="W25" s="8">
        <f t="shared" ca="1" si="2"/>
        <v>1227594.6901116532</v>
      </c>
      <c r="Y25" s="3"/>
    </row>
    <row r="26" spans="1:25" x14ac:dyDescent="0.2">
      <c r="A26" s="6">
        <f t="shared" ca="1" si="6"/>
        <v>46357</v>
      </c>
      <c r="B26" s="12">
        <f t="shared" ca="1" si="7"/>
        <v>12</v>
      </c>
      <c r="C26" s="7">
        <f ca="1">(YEAR(A26)-YEAR('ÖNYP kalkulátor'!$C$10))+(MONTH(CF!A26)-MONTH('ÖNYP kalkulátor'!$C$10)-1)/12</f>
        <v>45.5</v>
      </c>
      <c r="D26" s="4">
        <f ca="1">(1+VLOOKUP(YEAR(A26),'ÖNYP kalkulátor'!$E$15:$F$75,2,FALSE))^(1/12)-1</f>
        <v>2.4662697723036864E-3</v>
      </c>
      <c r="E26" s="4">
        <f t="shared" ca="1" si="12"/>
        <v>1.0626015757757372</v>
      </c>
      <c r="F26" s="8">
        <f t="shared" ca="1" si="9"/>
        <v>1301234.8559347107</v>
      </c>
      <c r="G26" s="8">
        <v>10000</v>
      </c>
      <c r="H26" s="8">
        <v>250000</v>
      </c>
      <c r="I26" s="8">
        <v>500000</v>
      </c>
      <c r="J26" s="8">
        <v>750000</v>
      </c>
      <c r="K26" s="8"/>
      <c r="L26" s="4">
        <f ca="1">+IF('ÖNYP kalkulátor'!$C$16="nem",0,
IF(MONTH(A26)=1,VLOOKUP(YEAR(A26),'ÖNYP kalkulátor'!$E$15:$J$75,4),0))</f>
        <v>0</v>
      </c>
      <c r="M26" s="8">
        <f t="shared" ca="1" si="10"/>
        <v>31827</v>
      </c>
      <c r="N26" s="8">
        <f t="shared" ca="1" si="11"/>
        <v>10609</v>
      </c>
      <c r="O26" s="8">
        <f t="shared" ca="1" si="3"/>
        <v>509232</v>
      </c>
      <c r="P26" s="8">
        <f t="shared" ca="1" si="4"/>
        <v>481147.36</v>
      </c>
      <c r="Q26" s="8">
        <f t="shared" ca="1" si="5"/>
        <v>40591.160000000033</v>
      </c>
      <c r="R26" s="13">
        <v>150000</v>
      </c>
      <c r="S26" s="13">
        <f ca="1">MIN(IF(AND(MONTH(A26)=5,'ÖNYP kalkulátor'!$IU$6="igen"),(M26+N26)*12/(1+IF('ÖNYP kalkulátor'!$C$16="nem",0,VLOOKUP(YEAR(A26),'ÖNYP kalkulátor'!$E$15:$J$75,4)))*0.2,0),R26)</f>
        <v>0</v>
      </c>
      <c r="T26" s="4">
        <f ca="1">(1+VLOOKUP(YEAR(A26),'ÖNYP kalkulátor'!$E$15:$F$75,2,FALSE)+VLOOKUP(YEAR(A26),'ÖNYP kalkulátor'!$E$15:$I$75,5,FALSE))^(1/12)-1</f>
        <v>4.0741237836483535E-3</v>
      </c>
      <c r="U26" s="8">
        <f t="shared" ca="1" si="0"/>
        <v>5466.7652850377199</v>
      </c>
      <c r="V26" s="14">
        <f t="shared" ca="1" si="1"/>
        <v>1347292.7812197485</v>
      </c>
      <c r="W26" s="8">
        <f t="shared" ca="1" si="2"/>
        <v>1267919.0506904495</v>
      </c>
      <c r="Y26" s="3"/>
    </row>
    <row r="27" spans="1:25" x14ac:dyDescent="0.2">
      <c r="A27" s="6">
        <f t="shared" ca="1" si="6"/>
        <v>46388</v>
      </c>
      <c r="B27" s="12">
        <f t="shared" ca="1" si="7"/>
        <v>1</v>
      </c>
      <c r="C27" s="7">
        <f ca="1">(YEAR(A27)-YEAR('ÖNYP kalkulátor'!$C$10))+(MONTH(CF!A27)-MONTH('ÖNYP kalkulátor'!$C$10)-1)/12</f>
        <v>45.583333333333336</v>
      </c>
      <c r="D27" s="4">
        <f ca="1">(1+VLOOKUP(YEAR(A27),'ÖNYP kalkulátor'!$E$15:$F$75,2,FALSE))^(1/12)-1</f>
        <v>2.4662697723036864E-3</v>
      </c>
      <c r="E27" s="4">
        <f t="shared" ca="1" si="12"/>
        <v>1.0652222379220753</v>
      </c>
      <c r="F27" s="8">
        <f t="shared" ca="1" si="9"/>
        <v>1347292.7812197485</v>
      </c>
      <c r="G27" s="8">
        <v>10000</v>
      </c>
      <c r="H27" s="8">
        <v>250000</v>
      </c>
      <c r="I27" s="8">
        <v>500000</v>
      </c>
      <c r="J27" s="8">
        <v>750000</v>
      </c>
      <c r="K27" s="8"/>
      <c r="L27" s="4">
        <f ca="1">+IF('ÖNYP kalkulátor'!$C$16="nem",0,
IF(MONTH(A27)=1,VLOOKUP(YEAR(A27),'ÖNYP kalkulátor'!$E$15:$J$75,4),0))</f>
        <v>0.03</v>
      </c>
      <c r="M27" s="8">
        <f t="shared" ca="1" si="10"/>
        <v>32781.81</v>
      </c>
      <c r="N27" s="8">
        <f t="shared" ca="1" si="11"/>
        <v>10927.27</v>
      </c>
      <c r="O27" s="8">
        <f t="shared" ca="1" si="3"/>
        <v>43709.08</v>
      </c>
      <c r="P27" s="8">
        <f t="shared" ca="1" si="4"/>
        <v>40686.535199999998</v>
      </c>
      <c r="Q27" s="8">
        <f t="shared" ca="1" si="5"/>
        <v>40686.535199999998</v>
      </c>
      <c r="R27" s="13">
        <v>150000</v>
      </c>
      <c r="S27" s="13">
        <f ca="1">MIN(IF(AND(MONTH(A27)=5,'ÖNYP kalkulátor'!$IU$6="igen"),(M27+N27)*12/(1+IF('ÖNYP kalkulátor'!$C$16="nem",0,VLOOKUP(YEAR(A27),'ÖNYP kalkulátor'!$E$15:$J$75,4)))*0.2,0),R27)</f>
        <v>0</v>
      </c>
      <c r="T27" s="4">
        <f ca="1">(1+VLOOKUP(YEAR(A27),'ÖNYP kalkulátor'!$E$15:$F$75,2,FALSE)+VLOOKUP(YEAR(A27),'ÖNYP kalkulátor'!$E$15:$I$75,5,FALSE))^(1/12)-1</f>
        <v>4.0741237836483535E-3</v>
      </c>
      <c r="U27" s="8">
        <f t="shared" ca="1" si="0"/>
        <v>5654.7995442376814</v>
      </c>
      <c r="V27" s="14">
        <f t="shared" ca="1" si="1"/>
        <v>1393634.1159639864</v>
      </c>
      <c r="W27" s="8">
        <f t="shared" ca="1" si="2"/>
        <v>1308303.6256195165</v>
      </c>
      <c r="Y27" s="3"/>
    </row>
    <row r="28" spans="1:25" x14ac:dyDescent="0.2">
      <c r="A28" s="6">
        <f t="shared" ca="1" si="6"/>
        <v>46419</v>
      </c>
      <c r="B28" s="12">
        <f t="shared" ca="1" si="7"/>
        <v>2</v>
      </c>
      <c r="C28" s="7">
        <f ca="1">(YEAR(A28)-YEAR('ÖNYP kalkulátor'!$C$10))+(MONTH(CF!A28)-MONTH('ÖNYP kalkulátor'!$C$10)-1)/12</f>
        <v>45.666666666666664</v>
      </c>
      <c r="D28" s="4">
        <f ca="1">(1+VLOOKUP(YEAR(A28),'ÖNYP kalkulátor'!$E$15:$F$75,2,FALSE))^(1/12)-1</f>
        <v>2.4662697723036864E-3</v>
      </c>
      <c r="E28" s="4">
        <f t="shared" ca="1" si="12"/>
        <v>1.0678493633282482</v>
      </c>
      <c r="F28" s="8">
        <f t="shared" ca="1" si="9"/>
        <v>1393634.1159639864</v>
      </c>
      <c r="G28" s="8">
        <v>10000</v>
      </c>
      <c r="H28" s="8">
        <v>250000</v>
      </c>
      <c r="I28" s="8">
        <v>500000</v>
      </c>
      <c r="J28" s="8">
        <v>750000</v>
      </c>
      <c r="K28" s="8"/>
      <c r="L28" s="4">
        <f ca="1">+IF('ÖNYP kalkulátor'!$C$16="nem",0,
IF(MONTH(A28)=1,VLOOKUP(YEAR(A28),'ÖNYP kalkulátor'!$E$15:$J$75,4),0))</f>
        <v>0</v>
      </c>
      <c r="M28" s="8">
        <f t="shared" ca="1" si="10"/>
        <v>32781.81</v>
      </c>
      <c r="N28" s="8">
        <f t="shared" ca="1" si="11"/>
        <v>10927.27</v>
      </c>
      <c r="O28" s="8">
        <f t="shared" ca="1" si="3"/>
        <v>87418.16</v>
      </c>
      <c r="P28" s="8">
        <f t="shared" ca="1" si="4"/>
        <v>81773.070399999997</v>
      </c>
      <c r="Q28" s="8">
        <f t="shared" ca="1" si="5"/>
        <v>41086.535199999998</v>
      </c>
      <c r="R28" s="13">
        <v>150000</v>
      </c>
      <c r="S28" s="13">
        <f ca="1">MIN(IF(AND(MONTH(A28)=5,'ÖNYP kalkulátor'!$IU$6="igen"),(M28+N28)*12/(1+IF('ÖNYP kalkulátor'!$C$16="nem",0,VLOOKUP(YEAR(A28),'ÖNYP kalkulátor'!$E$15:$J$75,4)))*0.2,0),R28)</f>
        <v>0</v>
      </c>
      <c r="T28" s="4">
        <f ca="1">(1+VLOOKUP(YEAR(A28),'ÖNYP kalkulátor'!$E$15:$F$75,2,FALSE)+VLOOKUP(YEAR(A28),'ÖNYP kalkulátor'!$E$15:$I$75,5,FALSE))^(1/12)-1</f>
        <v>4.0741237836483535E-3</v>
      </c>
      <c r="U28" s="8">
        <f t="shared" ca="1" si="0"/>
        <v>5845.2295277986495</v>
      </c>
      <c r="V28" s="14">
        <f t="shared" ca="1" si="1"/>
        <v>1440565.8806917851</v>
      </c>
      <c r="W28" s="8">
        <f t="shared" ca="1" si="2"/>
        <v>1349034.7329532162</v>
      </c>
      <c r="Y28" s="3"/>
    </row>
    <row r="29" spans="1:25" x14ac:dyDescent="0.2">
      <c r="A29" s="6">
        <f t="shared" ca="1" si="6"/>
        <v>46447</v>
      </c>
      <c r="B29" s="12">
        <f t="shared" ca="1" si="7"/>
        <v>3</v>
      </c>
      <c r="C29" s="7">
        <f ca="1">(YEAR(A29)-YEAR('ÖNYP kalkulátor'!$C$10))+(MONTH(CF!A29)-MONTH('ÖNYP kalkulátor'!$C$10)-1)/12</f>
        <v>45.75</v>
      </c>
      <c r="D29" s="4">
        <f ca="1">(1+VLOOKUP(YEAR(A29),'ÖNYP kalkulátor'!$E$15:$F$75,2,FALSE))^(1/12)-1</f>
        <v>2.4662697723036864E-3</v>
      </c>
      <c r="E29" s="4">
        <f t="shared" ca="1" si="12"/>
        <v>1.0704829679343983</v>
      </c>
      <c r="F29" s="8">
        <f t="shared" ca="1" si="9"/>
        <v>1440565.8806917851</v>
      </c>
      <c r="G29" s="8">
        <v>10000</v>
      </c>
      <c r="H29" s="8">
        <v>250000</v>
      </c>
      <c r="I29" s="8">
        <v>500000</v>
      </c>
      <c r="J29" s="8">
        <v>750000</v>
      </c>
      <c r="K29" s="8"/>
      <c r="L29" s="4">
        <f ca="1">+IF('ÖNYP kalkulátor'!$C$16="nem",0,
IF(MONTH(A29)=1,VLOOKUP(YEAR(A29),'ÖNYP kalkulátor'!$E$15:$J$75,4),0))</f>
        <v>0</v>
      </c>
      <c r="M29" s="8">
        <f t="shared" ca="1" si="10"/>
        <v>32781.81</v>
      </c>
      <c r="N29" s="8">
        <f t="shared" ca="1" si="11"/>
        <v>10927.27</v>
      </c>
      <c r="O29" s="8">
        <f t="shared" ca="1" si="3"/>
        <v>131127.24</v>
      </c>
      <c r="P29" s="8">
        <f t="shared" ca="1" si="4"/>
        <v>122859.60559999998</v>
      </c>
      <c r="Q29" s="8">
        <f t="shared" ca="1" si="5"/>
        <v>41086.535199999984</v>
      </c>
      <c r="R29" s="13">
        <v>150000</v>
      </c>
      <c r="S29" s="13">
        <f ca="1">MIN(IF(AND(MONTH(A29)=5,'ÖNYP kalkulátor'!$IU$6="igen"),(M29+N29)*12/(1+IF('ÖNYP kalkulátor'!$C$16="nem",0,VLOOKUP(YEAR(A29),'ÖNYP kalkulátor'!$E$15:$J$75,4)))*0.2,0),R29)</f>
        <v>0</v>
      </c>
      <c r="T29" s="4">
        <f ca="1">(1+VLOOKUP(YEAR(A29),'ÖNYP kalkulátor'!$E$15:$F$75,2,FALSE)+VLOOKUP(YEAR(A29),'ÖNYP kalkulátor'!$E$15:$I$75,5,FALSE))^(1/12)-1</f>
        <v>4.0741237836483535E-3</v>
      </c>
      <c r="U29" s="8">
        <f t="shared" ca="1" si="0"/>
        <v>6036.4353466847633</v>
      </c>
      <c r="V29" s="14">
        <f t="shared" ca="1" si="1"/>
        <v>1487688.8512384698</v>
      </c>
      <c r="W29" s="8">
        <f t="shared" ca="1" si="2"/>
        <v>1389736.1245355553</v>
      </c>
      <c r="Y29" s="3"/>
    </row>
    <row r="30" spans="1:25" x14ac:dyDescent="0.2">
      <c r="A30" s="6">
        <f t="shared" ca="1" si="6"/>
        <v>46478</v>
      </c>
      <c r="B30" s="12">
        <f t="shared" ca="1" si="7"/>
        <v>4</v>
      </c>
      <c r="C30" s="7">
        <f ca="1">(YEAR(A30)-YEAR('ÖNYP kalkulátor'!$C$10))+(MONTH(CF!A30)-MONTH('ÖNYP kalkulátor'!$C$10)-1)/12</f>
        <v>45.833333333333336</v>
      </c>
      <c r="D30" s="4">
        <f ca="1">(1+VLOOKUP(YEAR(A30),'ÖNYP kalkulátor'!$E$15:$F$75,2,FALSE))^(1/12)-1</f>
        <v>2.4662697723036864E-3</v>
      </c>
      <c r="E30" s="4">
        <f t="shared" ca="1" si="12"/>
        <v>1.0731230677199808</v>
      </c>
      <c r="F30" s="8">
        <f t="shared" ca="1" si="9"/>
        <v>1487688.8512384698</v>
      </c>
      <c r="G30" s="8">
        <v>10000</v>
      </c>
      <c r="H30" s="8">
        <v>250000</v>
      </c>
      <c r="I30" s="8">
        <v>500000</v>
      </c>
      <c r="J30" s="8">
        <v>750000</v>
      </c>
      <c r="K30" s="8"/>
      <c r="L30" s="4">
        <f ca="1">+IF('ÖNYP kalkulátor'!$C$16="nem",0,
IF(MONTH(A30)=1,VLOOKUP(YEAR(A30),'ÖNYP kalkulátor'!$E$15:$J$75,4),0))</f>
        <v>0</v>
      </c>
      <c r="M30" s="8">
        <f t="shared" ca="1" si="10"/>
        <v>32781.81</v>
      </c>
      <c r="N30" s="8">
        <f t="shared" ca="1" si="11"/>
        <v>10927.27</v>
      </c>
      <c r="O30" s="8">
        <f t="shared" ca="1" si="3"/>
        <v>174836.31999999998</v>
      </c>
      <c r="P30" s="8">
        <f t="shared" ca="1" si="4"/>
        <v>163946.14079999996</v>
      </c>
      <c r="Q30" s="8">
        <f t="shared" ca="1" si="5"/>
        <v>41086.535199999984</v>
      </c>
      <c r="R30" s="13">
        <v>150000</v>
      </c>
      <c r="S30" s="13">
        <f ca="1">MIN(IF(AND(MONTH(A30)=5,'ÖNYP kalkulátor'!$IU$6="igen"),(M30+N30)*12/(1+IF('ÖNYP kalkulátor'!$C$16="nem",0,VLOOKUP(YEAR(A30),'ÖNYP kalkulátor'!$E$15:$J$75,4)))*0.2,0),R30)</f>
        <v>0</v>
      </c>
      <c r="T30" s="4">
        <f ca="1">(1+VLOOKUP(YEAR(A30),'ÖNYP kalkulátor'!$E$15:$F$75,2,FALSE)+VLOOKUP(YEAR(A30),'ÖNYP kalkulátor'!$E$15:$I$75,5,FALSE))^(1/12)-1</f>
        <v>4.0741237836483535E-3</v>
      </c>
      <c r="U30" s="8">
        <f t="shared" ca="1" si="0"/>
        <v>6228.4201617451727</v>
      </c>
      <c r="V30" s="14">
        <f t="shared" ca="1" si="1"/>
        <v>1535003.8066002151</v>
      </c>
      <c r="W30" s="8">
        <f t="shared" ca="1" si="2"/>
        <v>1430407.9865337093</v>
      </c>
      <c r="Y30" s="3"/>
    </row>
    <row r="31" spans="1:25" x14ac:dyDescent="0.2">
      <c r="A31" s="6">
        <f t="shared" ca="1" si="6"/>
        <v>46508</v>
      </c>
      <c r="B31" s="12">
        <f t="shared" ca="1" si="7"/>
        <v>5</v>
      </c>
      <c r="C31" s="7">
        <f ca="1">(YEAR(A31)-YEAR('ÖNYP kalkulátor'!$C$10))+(MONTH(CF!A31)-MONTH('ÖNYP kalkulátor'!$C$10)-1)/12</f>
        <v>45.916666666666664</v>
      </c>
      <c r="D31" s="4">
        <f ca="1">(1+VLOOKUP(YEAR(A31),'ÖNYP kalkulátor'!$E$15:$F$75,2,FALSE))^(1/12)-1</f>
        <v>2.4662697723036864E-3</v>
      </c>
      <c r="E31" s="4">
        <f t="shared" ca="1" si="12"/>
        <v>1.0757696787038604</v>
      </c>
      <c r="F31" s="8">
        <f t="shared" ca="1" si="9"/>
        <v>1535003.8066002151</v>
      </c>
      <c r="G31" s="8">
        <v>10000</v>
      </c>
      <c r="H31" s="8">
        <v>250000</v>
      </c>
      <c r="I31" s="8">
        <v>500000</v>
      </c>
      <c r="J31" s="8">
        <v>750000</v>
      </c>
      <c r="K31" s="8"/>
      <c r="L31" s="4">
        <f ca="1">+IF('ÖNYP kalkulátor'!$C$16="nem",0,
IF(MONTH(A31)=1,VLOOKUP(YEAR(A31),'ÖNYP kalkulátor'!$E$15:$J$75,4),0))</f>
        <v>0</v>
      </c>
      <c r="M31" s="8">
        <f t="shared" ca="1" si="10"/>
        <v>32781.81</v>
      </c>
      <c r="N31" s="8">
        <f t="shared" ca="1" si="11"/>
        <v>10927.27</v>
      </c>
      <c r="O31" s="8">
        <f t="shared" ca="1" si="3"/>
        <v>218545.39999999997</v>
      </c>
      <c r="P31" s="8">
        <f t="shared" ca="1" si="4"/>
        <v>205032.67599999995</v>
      </c>
      <c r="Q31" s="8">
        <f t="shared" ca="1" si="5"/>
        <v>41086.535199999984</v>
      </c>
      <c r="R31" s="13">
        <v>150000</v>
      </c>
      <c r="S31" s="13">
        <f ca="1">MIN(IF(AND(MONTH(A31)=5,'ÖNYP kalkulátor'!$IU$6="igen"),(M31+N31)*12/(1+IF('ÖNYP kalkulátor'!$C$16="nem",0,VLOOKUP(YEAR(A31),'ÖNYP kalkulátor'!$E$15:$J$75,4)))*0.2,0),R31)</f>
        <v>101846.39999999999</v>
      </c>
      <c r="T31" s="4">
        <f ca="1">(1+VLOOKUP(YEAR(A31),'ÖNYP kalkulátor'!$E$15:$F$75,2,FALSE)+VLOOKUP(YEAR(A31),'ÖNYP kalkulátor'!$E$15:$I$75,5,FALSE))^(1/12)-1</f>
        <v>4.0741237836483535E-3</v>
      </c>
      <c r="U31" s="8">
        <f t="shared" ca="1" si="0"/>
        <v>6836.1219872256825</v>
      </c>
      <c r="V31" s="14">
        <f t="shared" ca="1" si="1"/>
        <v>1684772.8637874408</v>
      </c>
      <c r="W31" s="8">
        <f t="shared" ca="1" si="2"/>
        <v>1566109.267754541</v>
      </c>
      <c r="Y31" s="3"/>
    </row>
    <row r="32" spans="1:25" x14ac:dyDescent="0.2">
      <c r="A32" s="6">
        <f t="shared" ca="1" si="6"/>
        <v>46539</v>
      </c>
      <c r="B32" s="12">
        <f t="shared" ca="1" si="7"/>
        <v>6</v>
      </c>
      <c r="C32" s="7">
        <f ca="1">(YEAR(A32)-YEAR('ÖNYP kalkulátor'!$C$10))+(MONTH(CF!A32)-MONTH('ÖNYP kalkulátor'!$C$10)-1)/12</f>
        <v>46</v>
      </c>
      <c r="D32" s="4">
        <f ca="1">(1+VLOOKUP(YEAR(A32),'ÖNYP kalkulátor'!$E$15:$F$75,2,FALSE))^(1/12)-1</f>
        <v>2.4662697723036864E-3</v>
      </c>
      <c r="E32" s="4">
        <f t="shared" ca="1" si="12"/>
        <v>1.0784228169444086</v>
      </c>
      <c r="F32" s="8">
        <f t="shared" ca="1" si="9"/>
        <v>1684772.8637874408</v>
      </c>
      <c r="G32" s="8">
        <v>10000</v>
      </c>
      <c r="H32" s="8">
        <v>250000</v>
      </c>
      <c r="I32" s="8">
        <v>500000</v>
      </c>
      <c r="J32" s="8">
        <v>750000</v>
      </c>
      <c r="K32" s="8"/>
      <c r="L32" s="4">
        <f ca="1">+IF('ÖNYP kalkulátor'!$C$16="nem",0,
IF(MONTH(A32)=1,VLOOKUP(YEAR(A32),'ÖNYP kalkulátor'!$E$15:$J$75,4),0))</f>
        <v>0</v>
      </c>
      <c r="M32" s="8">
        <f t="shared" ca="1" si="10"/>
        <v>32781.81</v>
      </c>
      <c r="N32" s="8">
        <f t="shared" ca="1" si="11"/>
        <v>10927.27</v>
      </c>
      <c r="O32" s="8">
        <f t="shared" ca="1" si="3"/>
        <v>262254.48</v>
      </c>
      <c r="P32" s="8">
        <f t="shared" ca="1" si="4"/>
        <v>246241.75599999999</v>
      </c>
      <c r="Q32" s="8">
        <f t="shared" ca="1" si="5"/>
        <v>41209.080000000045</v>
      </c>
      <c r="R32" s="13">
        <v>150000</v>
      </c>
      <c r="S32" s="13">
        <f ca="1">MIN(IF(AND(MONTH(A32)=5,'ÖNYP kalkulátor'!$IU$6="igen"),(M32+N32)*12/(1+IF('ÖNYP kalkulátor'!$C$16="nem",0,VLOOKUP(YEAR(A32),'ÖNYP kalkulátor'!$E$15:$J$75,4)))*0.2,0),R32)</f>
        <v>0</v>
      </c>
      <c r="T32" s="4">
        <f ca="1">(1+VLOOKUP(YEAR(A32),'ÖNYP kalkulátor'!$E$15:$F$75,2,FALSE)+VLOOKUP(YEAR(A32),'ÖNYP kalkulátor'!$E$15:$I$75,5,FALSE))^(1/12)-1</f>
        <v>4.0741237836483535E-3</v>
      </c>
      <c r="U32" s="8">
        <f t="shared" ca="1" si="0"/>
        <v>7031.8640873320282</v>
      </c>
      <c r="V32" s="14">
        <f t="shared" ca="1" si="1"/>
        <v>1733013.8078747729</v>
      </c>
      <c r="W32" s="8">
        <f t="shared" ca="1" si="2"/>
        <v>1606989.1888833318</v>
      </c>
      <c r="Y32" s="3"/>
    </row>
    <row r="33" spans="1:25" x14ac:dyDescent="0.2">
      <c r="A33" s="6">
        <f t="shared" ca="1" si="6"/>
        <v>46569</v>
      </c>
      <c r="B33" s="12">
        <f t="shared" ca="1" si="7"/>
        <v>7</v>
      </c>
      <c r="C33" s="7">
        <f ca="1">(YEAR(A33)-YEAR('ÖNYP kalkulátor'!$C$10))+(MONTH(CF!A33)-MONTH('ÖNYP kalkulátor'!$C$10)-1)/12</f>
        <v>46.083333333333336</v>
      </c>
      <c r="D33" s="4">
        <f ca="1">(1+VLOOKUP(YEAR(A33),'ÖNYP kalkulátor'!$E$15:$F$75,2,FALSE))^(1/12)-1</f>
        <v>2.4662697723036864E-3</v>
      </c>
      <c r="E33" s="4">
        <f t="shared" ca="1" si="12"/>
        <v>1.081082498539601</v>
      </c>
      <c r="F33" s="8">
        <f t="shared" ca="1" si="9"/>
        <v>1733013.8078747729</v>
      </c>
      <c r="G33" s="8">
        <v>10000</v>
      </c>
      <c r="H33" s="8">
        <v>250000</v>
      </c>
      <c r="I33" s="8">
        <v>500000</v>
      </c>
      <c r="J33" s="8">
        <v>750000</v>
      </c>
      <c r="K33" s="8"/>
      <c r="L33" s="4">
        <f ca="1">+IF('ÖNYP kalkulátor'!$C$16="nem",0,
IF(MONTH(A33)=1,VLOOKUP(YEAR(A33),'ÖNYP kalkulátor'!$E$15:$J$75,4),0))</f>
        <v>0</v>
      </c>
      <c r="M33" s="8">
        <f t="shared" ca="1" si="10"/>
        <v>32781.81</v>
      </c>
      <c r="N33" s="8">
        <f t="shared" ca="1" si="11"/>
        <v>10927.27</v>
      </c>
      <c r="O33" s="8">
        <f t="shared" ca="1" si="3"/>
        <v>305963.56</v>
      </c>
      <c r="P33" s="8">
        <f t="shared" ca="1" si="4"/>
        <v>287765.38199999998</v>
      </c>
      <c r="Q33" s="8">
        <f t="shared" ca="1" si="5"/>
        <v>41523.625999999989</v>
      </c>
      <c r="R33" s="13">
        <v>150000</v>
      </c>
      <c r="S33" s="13">
        <f ca="1">MIN(IF(AND(MONTH(A33)=5,'ÖNYP kalkulátor'!$IU$6="igen"),(M33+N33)*12/(1+IF('ÖNYP kalkulátor'!$C$16="nem",0,VLOOKUP(YEAR(A33),'ÖNYP kalkulátor'!$E$15:$J$75,4)))*0.2,0),R33)</f>
        <v>0</v>
      </c>
      <c r="T33" s="4">
        <f ca="1">(1+VLOOKUP(YEAR(A33),'ÖNYP kalkulátor'!$E$15:$F$75,2,FALSE)+VLOOKUP(YEAR(A33),'ÖNYP kalkulátor'!$E$15:$I$75,5,FALSE))^(1/12)-1</f>
        <v>4.0741237836483535E-3</v>
      </c>
      <c r="U33" s="8">
        <f t="shared" ca="1" si="0"/>
        <v>7229.6851643235295</v>
      </c>
      <c r="V33" s="14">
        <f t="shared" ca="1" si="1"/>
        <v>1781767.1190390964</v>
      </c>
      <c r="W33" s="8">
        <f t="shared" ca="1" si="2"/>
        <v>1648132.4241637685</v>
      </c>
      <c r="Y33" s="3"/>
    </row>
    <row r="34" spans="1:25" x14ac:dyDescent="0.2">
      <c r="A34" s="6">
        <f t="shared" ca="1" si="6"/>
        <v>46600</v>
      </c>
      <c r="B34" s="12">
        <f t="shared" ca="1" si="7"/>
        <v>8</v>
      </c>
      <c r="C34" s="7">
        <f ca="1">(YEAR(A34)-YEAR('ÖNYP kalkulátor'!$C$10))+(MONTH(CF!A34)-MONTH('ÖNYP kalkulátor'!$C$10)-1)/12</f>
        <v>46.166666666666664</v>
      </c>
      <c r="D34" s="4">
        <f ca="1">(1+VLOOKUP(YEAR(A34),'ÖNYP kalkulátor'!$E$15:$F$75,2,FALSE))^(1/12)-1</f>
        <v>2.4662697723036864E-3</v>
      </c>
      <c r="E34" s="4">
        <f t="shared" ca="1" si="12"/>
        <v>1.0837487396271157</v>
      </c>
      <c r="F34" s="8">
        <f t="shared" ca="1" si="9"/>
        <v>1781767.1190390964</v>
      </c>
      <c r="G34" s="8">
        <v>10000</v>
      </c>
      <c r="H34" s="8">
        <v>250000</v>
      </c>
      <c r="I34" s="8">
        <v>500000</v>
      </c>
      <c r="J34" s="8">
        <v>750000</v>
      </c>
      <c r="K34" s="8"/>
      <c r="L34" s="4">
        <f ca="1">+IF('ÖNYP kalkulátor'!$C$16="nem",0,
IF(MONTH(A34)=1,VLOOKUP(YEAR(A34),'ÖNYP kalkulátor'!$E$15:$J$75,4),0))</f>
        <v>0</v>
      </c>
      <c r="M34" s="8">
        <f t="shared" ca="1" si="10"/>
        <v>32781.81</v>
      </c>
      <c r="N34" s="8">
        <f t="shared" ca="1" si="11"/>
        <v>10927.27</v>
      </c>
      <c r="O34" s="8">
        <f t="shared" ca="1" si="3"/>
        <v>349672.64</v>
      </c>
      <c r="P34" s="8">
        <f t="shared" ca="1" si="4"/>
        <v>329289.00800000003</v>
      </c>
      <c r="Q34" s="8">
        <f t="shared" ca="1" si="5"/>
        <v>41523.626000000047</v>
      </c>
      <c r="R34" s="13">
        <v>150000</v>
      </c>
      <c r="S34" s="13">
        <f ca="1">MIN(IF(AND(MONTH(A34)=5,'ÖNYP kalkulátor'!$IU$6="igen"),(M34+N34)*12/(1+IF('ÖNYP kalkulátor'!$C$16="nem",0,VLOOKUP(YEAR(A34),'ÖNYP kalkulátor'!$E$15:$J$75,4)))*0.2,0),R34)</f>
        <v>0</v>
      </c>
      <c r="T34" s="4">
        <f ca="1">(1+VLOOKUP(YEAR(A34),'ÖNYP kalkulátor'!$E$15:$F$75,2,FALSE)+VLOOKUP(YEAR(A34),'ÖNYP kalkulátor'!$E$15:$I$75,5,FALSE))^(1/12)-1</f>
        <v>4.0741237836483535E-3</v>
      </c>
      <c r="U34" s="8">
        <f t="shared" ca="1" si="0"/>
        <v>7428.3121888697096</v>
      </c>
      <c r="V34" s="14">
        <f t="shared" ca="1" si="1"/>
        <v>1830719.0572279664</v>
      </c>
      <c r="W34" s="8">
        <f t="shared" ca="1" si="2"/>
        <v>1689246.7693737387</v>
      </c>
      <c r="Y34" s="3"/>
    </row>
    <row r="35" spans="1:25" x14ac:dyDescent="0.2">
      <c r="A35" s="6">
        <f t="shared" ca="1" si="6"/>
        <v>46631</v>
      </c>
      <c r="B35" s="12">
        <f t="shared" ca="1" si="7"/>
        <v>9</v>
      </c>
      <c r="C35" s="7">
        <f ca="1">(YEAR(A35)-YEAR('ÖNYP kalkulátor'!$C$10))+(MONTH(CF!A35)-MONTH('ÖNYP kalkulátor'!$C$10)-1)/12</f>
        <v>46.25</v>
      </c>
      <c r="D35" s="4">
        <f ca="1">(1+VLOOKUP(YEAR(A35),'ÖNYP kalkulátor'!$E$15:$F$75,2,FALSE))^(1/12)-1</f>
        <v>2.4662697723036864E-3</v>
      </c>
      <c r="E35" s="4">
        <f t="shared" ca="1" si="12"/>
        <v>1.0864215563844304</v>
      </c>
      <c r="F35" s="8">
        <f t="shared" ca="1" si="9"/>
        <v>1830719.0572279664</v>
      </c>
      <c r="G35" s="8">
        <v>10000</v>
      </c>
      <c r="H35" s="8">
        <v>250000</v>
      </c>
      <c r="I35" s="8">
        <v>500000</v>
      </c>
      <c r="J35" s="8">
        <v>750000</v>
      </c>
      <c r="K35" s="8"/>
      <c r="L35" s="4">
        <f ca="1">+IF('ÖNYP kalkulátor'!$C$16="nem",0,
IF(MONTH(A35)=1,VLOOKUP(YEAR(A35),'ÖNYP kalkulátor'!$E$15:$J$75,4),0))</f>
        <v>0</v>
      </c>
      <c r="M35" s="8">
        <f t="shared" ca="1" si="10"/>
        <v>32781.81</v>
      </c>
      <c r="N35" s="8">
        <f t="shared" ca="1" si="11"/>
        <v>10927.27</v>
      </c>
      <c r="O35" s="8">
        <f t="shared" ca="1" si="3"/>
        <v>393381.72000000003</v>
      </c>
      <c r="P35" s="8">
        <f t="shared" ca="1" si="4"/>
        <v>370812.63400000002</v>
      </c>
      <c r="Q35" s="8">
        <f t="shared" ca="1" si="5"/>
        <v>41523.625999999989</v>
      </c>
      <c r="R35" s="13">
        <v>150000</v>
      </c>
      <c r="S35" s="13">
        <f ca="1">MIN(IF(AND(MONTH(A35)=5,'ÖNYP kalkulátor'!$IU$6="igen"),(M35+N35)*12/(1+IF('ÖNYP kalkulátor'!$C$16="nem",0,VLOOKUP(YEAR(A35),'ÖNYP kalkulátor'!$E$15:$J$75,4)))*0.2,0),R35)</f>
        <v>0</v>
      </c>
      <c r="T35" s="4">
        <f ca="1">(1+VLOOKUP(YEAR(A35),'ÖNYP kalkulátor'!$E$15:$F$75,2,FALSE)+VLOOKUP(YEAR(A35),'ÖNYP kalkulátor'!$E$15:$I$75,5,FALSE))^(1/12)-1</f>
        <v>4.0741237836483535E-3</v>
      </c>
      <c r="U35" s="8">
        <f t="shared" ca="1" si="0"/>
        <v>7627.7484445006676</v>
      </c>
      <c r="V35" s="14">
        <f t="shared" ca="1" si="1"/>
        <v>1879870.4316724669</v>
      </c>
      <c r="W35" s="8">
        <f t="shared" ca="1" si="2"/>
        <v>1730332.4115996044</v>
      </c>
      <c r="Y35" s="3"/>
    </row>
    <row r="36" spans="1:25" x14ac:dyDescent="0.2">
      <c r="A36" s="6">
        <f t="shared" ca="1" si="6"/>
        <v>46661</v>
      </c>
      <c r="B36" s="12">
        <f t="shared" ca="1" si="7"/>
        <v>10</v>
      </c>
      <c r="C36" s="7">
        <f ca="1">(YEAR(A36)-YEAR('ÖNYP kalkulátor'!$C$10))+(MONTH(CF!A36)-MONTH('ÖNYP kalkulátor'!$C$10)-1)/12</f>
        <v>46.333333333333336</v>
      </c>
      <c r="D36" s="4">
        <f ca="1">(1+VLOOKUP(YEAR(A36),'ÖNYP kalkulátor'!$E$15:$F$75,2,FALSE))^(1/12)-1</f>
        <v>2.4662697723036864E-3</v>
      </c>
      <c r="E36" s="4">
        <f t="shared" ca="1" si="12"/>
        <v>1.0891009650289205</v>
      </c>
      <c r="F36" s="8">
        <f t="shared" ca="1" si="9"/>
        <v>1879870.4316724669</v>
      </c>
      <c r="G36" s="8">
        <v>10000</v>
      </c>
      <c r="H36" s="8">
        <v>250000</v>
      </c>
      <c r="I36" s="8">
        <v>500000</v>
      </c>
      <c r="J36" s="8">
        <v>750000</v>
      </c>
      <c r="K36" s="8"/>
      <c r="L36" s="4">
        <f ca="1">+IF('ÖNYP kalkulátor'!$C$16="nem",0,
IF(MONTH(A36)=1,VLOOKUP(YEAR(A36),'ÖNYP kalkulátor'!$E$15:$J$75,4),0))</f>
        <v>0</v>
      </c>
      <c r="M36" s="8">
        <f t="shared" ca="1" si="10"/>
        <v>32781.81</v>
      </c>
      <c r="N36" s="8">
        <f t="shared" ca="1" si="11"/>
        <v>10927.27</v>
      </c>
      <c r="O36" s="8">
        <f t="shared" ca="1" si="3"/>
        <v>437090.80000000005</v>
      </c>
      <c r="P36" s="8">
        <f t="shared" ca="1" si="4"/>
        <v>412336.26</v>
      </c>
      <c r="Q36" s="8">
        <f t="shared" ca="1" si="5"/>
        <v>41523.625999999989</v>
      </c>
      <c r="R36" s="13">
        <v>150000</v>
      </c>
      <c r="S36" s="13">
        <f ca="1">MIN(IF(AND(MONTH(A36)=5,'ÖNYP kalkulátor'!$IU$6="igen"),(M36+N36)*12/(1+IF('ÖNYP kalkulátor'!$C$16="nem",0,VLOOKUP(YEAR(A36),'ÖNYP kalkulátor'!$E$15:$J$75,4)))*0.2,0),R36)</f>
        <v>0</v>
      </c>
      <c r="T36" s="4">
        <f ca="1">(1+VLOOKUP(YEAR(A36),'ÖNYP kalkulátor'!$E$15:$F$75,2,FALSE)+VLOOKUP(YEAR(A36),'ÖNYP kalkulátor'!$E$15:$I$75,5,FALSE))^(1/12)-1</f>
        <v>4.0741237836483535E-3</v>
      </c>
      <c r="U36" s="8">
        <f t="shared" ca="1" si="0"/>
        <v>7827.9972281240134</v>
      </c>
      <c r="V36" s="14">
        <f t="shared" ca="1" si="1"/>
        <v>1929222.0549005908</v>
      </c>
      <c r="W36" s="8">
        <f t="shared" ca="1" si="2"/>
        <v>1771389.5376535282</v>
      </c>
      <c r="Y36" s="3"/>
    </row>
    <row r="37" spans="1:25" x14ac:dyDescent="0.2">
      <c r="A37" s="6">
        <f t="shared" ca="1" si="6"/>
        <v>46692</v>
      </c>
      <c r="B37" s="12">
        <f t="shared" ca="1" si="7"/>
        <v>11</v>
      </c>
      <c r="C37" s="7">
        <f ca="1">(YEAR(A37)-YEAR('ÖNYP kalkulátor'!$C$10))+(MONTH(CF!A37)-MONTH('ÖNYP kalkulátor'!$C$10)-1)/12</f>
        <v>46.416666666666664</v>
      </c>
      <c r="D37" s="4">
        <f ca="1">(1+VLOOKUP(YEAR(A37),'ÖNYP kalkulátor'!$E$15:$F$75,2,FALSE))^(1/12)-1</f>
        <v>2.4662697723036864E-3</v>
      </c>
      <c r="E37" s="4">
        <f t="shared" ca="1" si="12"/>
        <v>1.0917869818179582</v>
      </c>
      <c r="F37" s="8">
        <f t="shared" ca="1" si="9"/>
        <v>1929222.0549005908</v>
      </c>
      <c r="G37" s="8">
        <v>10000</v>
      </c>
      <c r="H37" s="8">
        <v>250000</v>
      </c>
      <c r="I37" s="8">
        <v>500000</v>
      </c>
      <c r="J37" s="8">
        <v>750000</v>
      </c>
      <c r="K37" s="8"/>
      <c r="L37" s="4">
        <f ca="1">+IF('ÖNYP kalkulátor'!$C$16="nem",0,
IF(MONTH(A37)=1,VLOOKUP(YEAR(A37),'ÖNYP kalkulátor'!$E$15:$J$75,4),0))</f>
        <v>0</v>
      </c>
      <c r="M37" s="8">
        <f t="shared" ca="1" si="10"/>
        <v>32781.81</v>
      </c>
      <c r="N37" s="8">
        <f t="shared" ca="1" si="11"/>
        <v>10927.27</v>
      </c>
      <c r="O37" s="8">
        <f t="shared" ca="1" si="3"/>
        <v>480799.88000000006</v>
      </c>
      <c r="P37" s="8">
        <f t="shared" ca="1" si="4"/>
        <v>453859.88600000006</v>
      </c>
      <c r="Q37" s="8">
        <f t="shared" ca="1" si="5"/>
        <v>41523.626000000047</v>
      </c>
      <c r="R37" s="13">
        <v>150000</v>
      </c>
      <c r="S37" s="13">
        <f ca="1">MIN(IF(AND(MONTH(A37)=5,'ÖNYP kalkulátor'!$IU$6="igen"),(M37+N37)*12/(1+IF('ÖNYP kalkulátor'!$C$16="nem",0,VLOOKUP(YEAR(A37),'ÖNYP kalkulátor'!$E$15:$J$75,4)))*0.2,0),R37)</f>
        <v>0</v>
      </c>
      <c r="T37" s="4">
        <f ca="1">(1+VLOOKUP(YEAR(A37),'ÖNYP kalkulátor'!$E$15:$F$75,2,FALSE)+VLOOKUP(YEAR(A37),'ÖNYP kalkulátor'!$E$15:$I$75,5,FALSE))^(1/12)-1</f>
        <v>4.0741237836483535E-3</v>
      </c>
      <c r="U37" s="8">
        <f t="shared" ca="1" si="0"/>
        <v>8029.0618500793662</v>
      </c>
      <c r="V37" s="14">
        <f t="shared" ca="1" si="1"/>
        <v>1978774.7427506703</v>
      </c>
      <c r="W37" s="8">
        <f t="shared" ca="1" si="2"/>
        <v>1812418.3340744451</v>
      </c>
      <c r="Y37" s="3"/>
    </row>
    <row r="38" spans="1:25" x14ac:dyDescent="0.2">
      <c r="A38" s="6">
        <f t="shared" ca="1" si="6"/>
        <v>46722</v>
      </c>
      <c r="B38" s="12">
        <f t="shared" ca="1" si="7"/>
        <v>12</v>
      </c>
      <c r="C38" s="7">
        <f ca="1">(YEAR(A38)-YEAR('ÖNYP kalkulátor'!$C$10))+(MONTH(CF!A38)-MONTH('ÖNYP kalkulátor'!$C$10)-1)/12</f>
        <v>46.5</v>
      </c>
      <c r="D38" s="4">
        <f ca="1">(1+VLOOKUP(YEAR(A38),'ÖNYP kalkulátor'!$E$15:$F$75,2,FALSE))^(1/12)-1</f>
        <v>2.4662697723036864E-3</v>
      </c>
      <c r="E38" s="4">
        <f t="shared" ca="1" si="12"/>
        <v>1.0944796230490106</v>
      </c>
      <c r="F38" s="8">
        <f t="shared" ca="1" si="9"/>
        <v>1978774.7427506703</v>
      </c>
      <c r="G38" s="8">
        <v>10000</v>
      </c>
      <c r="H38" s="8">
        <v>250000</v>
      </c>
      <c r="I38" s="8">
        <v>500000</v>
      </c>
      <c r="J38" s="8">
        <v>750000</v>
      </c>
      <c r="K38" s="8"/>
      <c r="L38" s="4">
        <f ca="1">+IF('ÖNYP kalkulátor'!$C$16="nem",0,
IF(MONTH(A38)=1,VLOOKUP(YEAR(A38),'ÖNYP kalkulátor'!$E$15:$J$75,4),0))</f>
        <v>0</v>
      </c>
      <c r="M38" s="8">
        <f t="shared" ca="1" si="10"/>
        <v>32781.81</v>
      </c>
      <c r="N38" s="8">
        <f t="shared" ca="1" si="11"/>
        <v>10927.27</v>
      </c>
      <c r="O38" s="8">
        <f t="shared" ca="1" si="3"/>
        <v>524508.96000000008</v>
      </c>
      <c r="P38" s="8">
        <f t="shared" ca="1" si="4"/>
        <v>496118.78080000007</v>
      </c>
      <c r="Q38" s="8">
        <f t="shared" ca="1" si="5"/>
        <v>42258.894800000009</v>
      </c>
      <c r="R38" s="13">
        <v>150000</v>
      </c>
      <c r="S38" s="13">
        <f ca="1">MIN(IF(AND(MONTH(A38)=5,'ÖNYP kalkulátor'!$IU$6="igen"),(M38+N38)*12/(1+IF('ÖNYP kalkulátor'!$C$16="nem",0,VLOOKUP(YEAR(A38),'ÖNYP kalkulátor'!$E$15:$J$75,4)))*0.2,0),R38)</f>
        <v>0</v>
      </c>
      <c r="T38" s="4">
        <f ca="1">(1+VLOOKUP(YEAR(A38),'ÖNYP kalkulátor'!$E$15:$F$75,2,FALSE)+VLOOKUP(YEAR(A38),'ÖNYP kalkulátor'!$E$15:$I$75,5,FALSE))^(1/12)-1</f>
        <v>4.0741237836483535E-3</v>
      </c>
      <c r="U38" s="8">
        <f t="shared" ca="1" si="0"/>
        <v>8233.9412102985316</v>
      </c>
      <c r="V38" s="14">
        <f t="shared" ca="1" si="1"/>
        <v>2029267.5787609688</v>
      </c>
      <c r="W38" s="8">
        <f t="shared" ca="1" si="2"/>
        <v>1854093.5217302795</v>
      </c>
      <c r="Y38" s="3"/>
    </row>
    <row r="39" spans="1:25" x14ac:dyDescent="0.2">
      <c r="A39" s="6">
        <f t="shared" ca="1" si="6"/>
        <v>46753</v>
      </c>
      <c r="B39" s="12">
        <f t="shared" ca="1" si="7"/>
        <v>1</v>
      </c>
      <c r="C39" s="7">
        <f ca="1">(YEAR(A39)-YEAR('ÖNYP kalkulátor'!$C$10))+(MONTH(CF!A39)-MONTH('ÖNYP kalkulátor'!$C$10)-1)/12</f>
        <v>46.583333333333336</v>
      </c>
      <c r="D39" s="4">
        <f ca="1">(1+VLOOKUP(YEAR(A39),'ÖNYP kalkulátor'!$E$15:$F$75,2,FALSE))^(1/12)-1</f>
        <v>2.4662697723036864E-3</v>
      </c>
      <c r="E39" s="4">
        <f t="shared" ref="E39:E102" ca="1" si="13">E38*(1+D38)</f>
        <v>1.0971789050597387</v>
      </c>
      <c r="F39" s="8">
        <f t="shared" ref="F39:F102" ca="1" si="14">+V38</f>
        <v>2029267.5787609688</v>
      </c>
      <c r="G39" s="8">
        <v>10000</v>
      </c>
      <c r="H39" s="8">
        <v>250000</v>
      </c>
      <c r="I39" s="8">
        <v>500000</v>
      </c>
      <c r="J39" s="8">
        <v>750000</v>
      </c>
      <c r="K39" s="8"/>
      <c r="L39" s="4">
        <f ca="1">+IF('ÖNYP kalkulátor'!$C$16="nem",0,
IF(MONTH(A39)=1,VLOOKUP(YEAR(A39),'ÖNYP kalkulátor'!$E$15:$J$75,4),0))</f>
        <v>0.03</v>
      </c>
      <c r="M39" s="8">
        <f t="shared" ca="1" si="10"/>
        <v>33765.264299999995</v>
      </c>
      <c r="N39" s="8">
        <f t="shared" ca="1" si="11"/>
        <v>11255.088100000001</v>
      </c>
      <c r="O39" s="8">
        <f t="shared" ca="1" si="3"/>
        <v>45020.352399999996</v>
      </c>
      <c r="P39" s="8">
        <f t="shared" ca="1" si="4"/>
        <v>41919.131255999993</v>
      </c>
      <c r="Q39" s="8">
        <f t="shared" ca="1" si="5"/>
        <v>41919.131255999993</v>
      </c>
      <c r="R39" s="13">
        <v>150000</v>
      </c>
      <c r="S39" s="13">
        <f ca="1">MIN(IF(AND(MONTH(A39)=5,'ÖNYP kalkulátor'!$IU$6="igen"),(M39+N39)*12/(1+IF('ÖNYP kalkulátor'!$C$16="nem",0,VLOOKUP(YEAR(A39),'ÖNYP kalkulátor'!$E$15:$J$75,4)))*0.2,0),R39)</f>
        <v>0</v>
      </c>
      <c r="T39" s="4">
        <f ca="1">(1+VLOOKUP(YEAR(A39),'ÖNYP kalkulátor'!$E$15:$F$75,2,FALSE)+VLOOKUP(YEAR(A39),'ÖNYP kalkulátor'!$E$15:$I$75,5,FALSE))^(1/12)-1</f>
        <v>4.0741237836483535E-3</v>
      </c>
      <c r="U39" s="8">
        <f t="shared" ca="1" si="0"/>
        <v>8438.2710356565167</v>
      </c>
      <c r="V39" s="14">
        <f t="shared" ca="1" si="1"/>
        <v>2079624.9810526252</v>
      </c>
      <c r="W39" s="8">
        <f t="shared" ca="1" si="2"/>
        <v>1895429.2426351332</v>
      </c>
      <c r="Y39" s="3"/>
    </row>
    <row r="40" spans="1:25" x14ac:dyDescent="0.2">
      <c r="A40" s="6">
        <f t="shared" ca="1" si="6"/>
        <v>46784</v>
      </c>
      <c r="B40" s="12">
        <f t="shared" ca="1" si="7"/>
        <v>2</v>
      </c>
      <c r="C40" s="7">
        <f ca="1">(YEAR(A40)-YEAR('ÖNYP kalkulátor'!$C$10))+(MONTH(CF!A40)-MONTH('ÖNYP kalkulátor'!$C$10)-1)/12</f>
        <v>46.666666666666664</v>
      </c>
      <c r="D40" s="4">
        <f ca="1">(1+VLOOKUP(YEAR(A40),'ÖNYP kalkulátor'!$E$15:$F$75,2,FALSE))^(1/12)-1</f>
        <v>2.4662697723036864E-3</v>
      </c>
      <c r="E40" s="4">
        <f t="shared" ca="1" si="13"/>
        <v>1.0998848442280968</v>
      </c>
      <c r="F40" s="8">
        <f t="shared" ca="1" si="14"/>
        <v>2079624.9810526252</v>
      </c>
      <c r="G40" s="8">
        <v>10000</v>
      </c>
      <c r="H40" s="8">
        <v>250000</v>
      </c>
      <c r="I40" s="8">
        <v>500000</v>
      </c>
      <c r="J40" s="8">
        <v>750000</v>
      </c>
      <c r="K40" s="8"/>
      <c r="L40" s="4">
        <f ca="1">+IF('ÖNYP kalkulátor'!$C$16="nem",0,
IF(MONTH(A40)=1,VLOOKUP(YEAR(A40),'ÖNYP kalkulátor'!$E$15:$J$75,4),0))</f>
        <v>0</v>
      </c>
      <c r="M40" s="8">
        <f t="shared" ca="1" si="10"/>
        <v>33765.264299999995</v>
      </c>
      <c r="N40" s="8">
        <f t="shared" ca="1" si="11"/>
        <v>11255.088100000001</v>
      </c>
      <c r="O40" s="8">
        <f t="shared" ca="1" si="3"/>
        <v>90040.704799999978</v>
      </c>
      <c r="P40" s="8">
        <f t="shared" ca="1" si="4"/>
        <v>84238.262511999972</v>
      </c>
      <c r="Q40" s="8">
        <f t="shared" ca="1" si="5"/>
        <v>42319.131255999979</v>
      </c>
      <c r="R40" s="13">
        <v>150000</v>
      </c>
      <c r="S40" s="13">
        <f ca="1">MIN(IF(AND(MONTH(A40)=5,'ÖNYP kalkulátor'!$IU$6="igen"),(M40+N40)*12/(1+IF('ÖNYP kalkulátor'!$C$16="nem",0,VLOOKUP(YEAR(A40),'ÖNYP kalkulátor'!$E$15:$J$75,4)))*0.2,0),R40)</f>
        <v>0</v>
      </c>
      <c r="T40" s="4">
        <f ca="1">(1+VLOOKUP(YEAR(A40),'ÖNYP kalkulátor'!$E$15:$F$75,2,FALSE)+VLOOKUP(YEAR(A40),'ÖNYP kalkulátor'!$E$15:$I$75,5,FALSE))^(1/12)-1</f>
        <v>4.0741237836483535E-3</v>
      </c>
      <c r="U40" s="8">
        <f t="shared" ca="1" si="0"/>
        <v>8645.0629755291629</v>
      </c>
      <c r="V40" s="14">
        <f t="shared" ca="1" si="1"/>
        <v>2130589.1752841542</v>
      </c>
      <c r="W40" s="8">
        <f t="shared" ca="1" si="2"/>
        <v>1937102.0397861828</v>
      </c>
      <c r="Y40" s="3"/>
    </row>
    <row r="41" spans="1:25" x14ac:dyDescent="0.2">
      <c r="A41" s="6">
        <f t="shared" ca="1" si="6"/>
        <v>46813</v>
      </c>
      <c r="B41" s="12">
        <f t="shared" ca="1" si="7"/>
        <v>3</v>
      </c>
      <c r="C41" s="7">
        <f ca="1">(YEAR(A41)-YEAR('ÖNYP kalkulátor'!$C$10))+(MONTH(CF!A41)-MONTH('ÖNYP kalkulátor'!$C$10)-1)/12</f>
        <v>46.75</v>
      </c>
      <c r="D41" s="4">
        <f ca="1">(1+VLOOKUP(YEAR(A41),'ÖNYP kalkulátor'!$E$15:$F$75,2,FALSE))^(1/12)-1</f>
        <v>2.4662697723036864E-3</v>
      </c>
      <c r="E41" s="4">
        <f t="shared" ca="1" si="13"/>
        <v>1.1025974569724315</v>
      </c>
      <c r="F41" s="8">
        <f t="shared" ca="1" si="14"/>
        <v>2130589.1752841542</v>
      </c>
      <c r="G41" s="8">
        <v>10000</v>
      </c>
      <c r="H41" s="8">
        <v>250000</v>
      </c>
      <c r="I41" s="8">
        <v>500000</v>
      </c>
      <c r="J41" s="8">
        <v>750000</v>
      </c>
      <c r="K41" s="8"/>
      <c r="L41" s="4">
        <f ca="1">+IF('ÖNYP kalkulátor'!$C$16="nem",0,
IF(MONTH(A41)=1,VLOOKUP(YEAR(A41),'ÖNYP kalkulátor'!$E$15:$J$75,4),0))</f>
        <v>0</v>
      </c>
      <c r="M41" s="8">
        <f t="shared" ca="1" si="10"/>
        <v>33765.264299999995</v>
      </c>
      <c r="N41" s="8">
        <f t="shared" ca="1" si="11"/>
        <v>11255.088100000001</v>
      </c>
      <c r="O41" s="8">
        <f t="shared" ca="1" si="3"/>
        <v>135061.05719999998</v>
      </c>
      <c r="P41" s="8">
        <f t="shared" ca="1" si="4"/>
        <v>126557.39376799998</v>
      </c>
      <c r="Q41" s="8">
        <f t="shared" ca="1" si="5"/>
        <v>42319.131256000008</v>
      </c>
      <c r="R41" s="13">
        <v>150000</v>
      </c>
      <c r="S41" s="13">
        <f ca="1">MIN(IF(AND(MONTH(A41)=5,'ÖNYP kalkulátor'!$IU$6="igen"),(M41+N41)*12/(1+IF('ÖNYP kalkulátor'!$C$16="nem",0,VLOOKUP(YEAR(A41),'ÖNYP kalkulátor'!$E$15:$J$75,4)))*0.2,0),R41)</f>
        <v>0</v>
      </c>
      <c r="T41" s="4">
        <f ca="1">(1+VLOOKUP(YEAR(A41),'ÖNYP kalkulátor'!$E$15:$F$75,2,FALSE)+VLOOKUP(YEAR(A41),'ÖNYP kalkulátor'!$E$15:$I$75,5,FALSE))^(1/12)-1</f>
        <v>4.0741237836483535E-3</v>
      </c>
      <c r="U41" s="8">
        <f t="shared" ca="1" si="0"/>
        <v>8852.697411362311</v>
      </c>
      <c r="V41" s="14">
        <f t="shared" ca="1" si="1"/>
        <v>2181761.0039515165</v>
      </c>
      <c r="W41" s="8">
        <f t="shared" ca="1" si="2"/>
        <v>1978746.6315606309</v>
      </c>
      <c r="Y41" s="3"/>
    </row>
    <row r="42" spans="1:25" x14ac:dyDescent="0.2">
      <c r="A42" s="6">
        <f t="shared" ca="1" si="6"/>
        <v>46844</v>
      </c>
      <c r="B42" s="12">
        <f t="shared" ca="1" si="7"/>
        <v>4</v>
      </c>
      <c r="C42" s="7">
        <f ca="1">(YEAR(A42)-YEAR('ÖNYP kalkulátor'!$C$10))+(MONTH(CF!A42)-MONTH('ÖNYP kalkulátor'!$C$10)-1)/12</f>
        <v>46.833333333333336</v>
      </c>
      <c r="D42" s="4">
        <f ca="1">(1+VLOOKUP(YEAR(A42),'ÖNYP kalkulátor'!$E$15:$F$75,2,FALSE))^(1/12)-1</f>
        <v>2.4662697723036864E-3</v>
      </c>
      <c r="E42" s="4">
        <f t="shared" ca="1" si="13"/>
        <v>1.1053167597515816</v>
      </c>
      <c r="F42" s="8">
        <f t="shared" ca="1" si="14"/>
        <v>2181761.0039515165</v>
      </c>
      <c r="G42" s="8">
        <v>10000</v>
      </c>
      <c r="H42" s="8">
        <v>250000</v>
      </c>
      <c r="I42" s="8">
        <v>500000</v>
      </c>
      <c r="J42" s="8">
        <v>750000</v>
      </c>
      <c r="K42" s="8"/>
      <c r="L42" s="4">
        <f ca="1">+IF('ÖNYP kalkulátor'!$C$16="nem",0,
IF(MONTH(A42)=1,VLOOKUP(YEAR(A42),'ÖNYP kalkulátor'!$E$15:$J$75,4),0))</f>
        <v>0</v>
      </c>
      <c r="M42" s="8">
        <f t="shared" ca="1" si="10"/>
        <v>33765.264299999995</v>
      </c>
      <c r="N42" s="8">
        <f t="shared" ca="1" si="11"/>
        <v>11255.088100000001</v>
      </c>
      <c r="O42" s="8">
        <f t="shared" ca="1" si="3"/>
        <v>180081.40959999996</v>
      </c>
      <c r="P42" s="8">
        <f t="shared" ca="1" si="4"/>
        <v>168876.52502399994</v>
      </c>
      <c r="Q42" s="8">
        <f t="shared" ca="1" si="5"/>
        <v>42319.131255999964</v>
      </c>
      <c r="R42" s="13">
        <v>150000</v>
      </c>
      <c r="S42" s="13">
        <f ca="1">MIN(IF(AND(MONTH(A42)=5,'ÖNYP kalkulátor'!$IU$6="igen"),(M42+N42)*12/(1+IF('ÖNYP kalkulátor'!$C$16="nem",0,VLOOKUP(YEAR(A42),'ÖNYP kalkulátor'!$E$15:$J$75,4)))*0.2,0),R42)</f>
        <v>0</v>
      </c>
      <c r="T42" s="4">
        <f ca="1">(1+VLOOKUP(YEAR(A42),'ÖNYP kalkulátor'!$E$15:$F$75,2,FALSE)+VLOOKUP(YEAR(A42),'ÖNYP kalkulátor'!$E$15:$I$75,5,FALSE))^(1/12)-1</f>
        <v>4.0741237836483535E-3</v>
      </c>
      <c r="U42" s="8">
        <f t="shared" ca="1" si="0"/>
        <v>9061.1777755887888</v>
      </c>
      <c r="V42" s="14">
        <f t="shared" ca="1" si="1"/>
        <v>2233141.3129831054</v>
      </c>
      <c r="W42" s="8">
        <f t="shared" ca="1" si="2"/>
        <v>2020363.2065481399</v>
      </c>
      <c r="Y42" s="3"/>
    </row>
    <row r="43" spans="1:25" x14ac:dyDescent="0.2">
      <c r="A43" s="6">
        <f t="shared" ca="1" si="6"/>
        <v>46874</v>
      </c>
      <c r="B43" s="12">
        <f t="shared" ca="1" si="7"/>
        <v>5</v>
      </c>
      <c r="C43" s="7">
        <f ca="1">(YEAR(A43)-YEAR('ÖNYP kalkulátor'!$C$10))+(MONTH(CF!A43)-MONTH('ÖNYP kalkulátor'!$C$10)-1)/12</f>
        <v>46.916666666666664</v>
      </c>
      <c r="D43" s="4">
        <f ca="1">(1+VLOOKUP(YEAR(A43),'ÖNYP kalkulátor'!$E$15:$F$75,2,FALSE))^(1/12)-1</f>
        <v>2.4662697723036864E-3</v>
      </c>
      <c r="E43" s="4">
        <f t="shared" ca="1" si="13"/>
        <v>1.1080427690649777</v>
      </c>
      <c r="F43" s="8">
        <f t="shared" ca="1" si="14"/>
        <v>2233141.3129831054</v>
      </c>
      <c r="G43" s="8">
        <v>10000</v>
      </c>
      <c r="H43" s="8">
        <v>250000</v>
      </c>
      <c r="I43" s="8">
        <v>500000</v>
      </c>
      <c r="J43" s="8">
        <v>750000</v>
      </c>
      <c r="K43" s="8"/>
      <c r="L43" s="4">
        <f ca="1">+IF('ÖNYP kalkulátor'!$C$16="nem",0,
IF(MONTH(A43)=1,VLOOKUP(YEAR(A43),'ÖNYP kalkulátor'!$E$15:$J$75,4),0))</f>
        <v>0</v>
      </c>
      <c r="M43" s="8">
        <f t="shared" ca="1" si="10"/>
        <v>33765.264299999995</v>
      </c>
      <c r="N43" s="8">
        <f t="shared" ca="1" si="11"/>
        <v>11255.088100000001</v>
      </c>
      <c r="O43" s="8">
        <f t="shared" ca="1" si="3"/>
        <v>225101.76199999993</v>
      </c>
      <c r="P43" s="8">
        <f t="shared" ca="1" si="4"/>
        <v>211195.65627999991</v>
      </c>
      <c r="Q43" s="8">
        <f t="shared" ca="1" si="5"/>
        <v>42319.131255999964</v>
      </c>
      <c r="R43" s="13">
        <v>150000</v>
      </c>
      <c r="S43" s="13">
        <f ca="1">MIN(IF(AND(MONTH(A43)=5,'ÖNYP kalkulátor'!$IU$6="igen"),(M43+N43)*12/(1+IF('ÖNYP kalkulátor'!$C$16="nem",0,VLOOKUP(YEAR(A43),'ÖNYP kalkulátor'!$E$15:$J$75,4)))*0.2,0),R43)</f>
        <v>104901.792</v>
      </c>
      <c r="T43" s="4">
        <f ca="1">(1+VLOOKUP(YEAR(A43),'ÖNYP kalkulátor'!$E$15:$F$75,2,FALSE)+VLOOKUP(YEAR(A43),'ÖNYP kalkulátor'!$E$15:$I$75,5,FALSE))^(1/12)-1</f>
        <v>4.0741237836483535E-3</v>
      </c>
      <c r="U43" s="8">
        <f t="shared" ca="1" si="0"/>
        <v>9697.8904003601201</v>
      </c>
      <c r="V43" s="14">
        <f t="shared" ca="1" si="1"/>
        <v>2390060.1266394658</v>
      </c>
      <c r="W43" s="8">
        <f t="shared" ca="1" si="2"/>
        <v>2157010.7159819463</v>
      </c>
      <c r="Y43" s="3"/>
    </row>
    <row r="44" spans="1:25" x14ac:dyDescent="0.2">
      <c r="A44" s="6">
        <f t="shared" ca="1" si="6"/>
        <v>46905</v>
      </c>
      <c r="B44" s="12">
        <f t="shared" ca="1" si="7"/>
        <v>6</v>
      </c>
      <c r="C44" s="7">
        <f ca="1">(YEAR(A44)-YEAR('ÖNYP kalkulátor'!$C$10))+(MONTH(CF!A44)-MONTH('ÖNYP kalkulátor'!$C$10)-1)/12</f>
        <v>47</v>
      </c>
      <c r="D44" s="4">
        <f ca="1">(1+VLOOKUP(YEAR(A44),'ÖNYP kalkulátor'!$E$15:$F$75,2,FALSE))^(1/12)-1</f>
        <v>2.4662697723036864E-3</v>
      </c>
      <c r="E44" s="4">
        <f t="shared" ca="1" si="13"/>
        <v>1.1107755014527423</v>
      </c>
      <c r="F44" s="8">
        <f t="shared" ca="1" si="14"/>
        <v>2390060.1266394658</v>
      </c>
      <c r="G44" s="8">
        <v>10000</v>
      </c>
      <c r="H44" s="8">
        <v>250000</v>
      </c>
      <c r="I44" s="8">
        <v>500000</v>
      </c>
      <c r="J44" s="8">
        <v>750000</v>
      </c>
      <c r="K44" s="8"/>
      <c r="L44" s="4">
        <f ca="1">+IF('ÖNYP kalkulátor'!$C$16="nem",0,
IF(MONTH(A44)=1,VLOOKUP(YEAR(A44),'ÖNYP kalkulátor'!$E$15:$J$75,4),0))</f>
        <v>0</v>
      </c>
      <c r="M44" s="8">
        <f t="shared" ca="1" si="10"/>
        <v>33765.264299999995</v>
      </c>
      <c r="N44" s="8">
        <f t="shared" ca="1" si="11"/>
        <v>11255.088100000001</v>
      </c>
      <c r="O44" s="8">
        <f t="shared" ca="1" si="3"/>
        <v>270122.1143999999</v>
      </c>
      <c r="P44" s="8">
        <f t="shared" ca="1" si="4"/>
        <v>253716.00867999991</v>
      </c>
      <c r="Q44" s="8">
        <f t="shared" ca="1" si="5"/>
        <v>42520.352400000003</v>
      </c>
      <c r="R44" s="13">
        <v>150000</v>
      </c>
      <c r="S44" s="13">
        <f ca="1">MIN(IF(AND(MONTH(A44)=5,'ÖNYP kalkulátor'!$IU$6="igen"),(M44+N44)*12/(1+IF('ÖNYP kalkulátor'!$C$16="nem",0,VLOOKUP(YEAR(A44),'ÖNYP kalkulátor'!$E$15:$J$75,4)))*0.2,0),R44)</f>
        <v>0</v>
      </c>
      <c r="T44" s="4">
        <f ca="1">(1+VLOOKUP(YEAR(A44),'ÖNYP kalkulátor'!$E$15:$F$75,2,FALSE)+VLOOKUP(YEAR(A44),'ÖNYP kalkulátor'!$E$15:$I$75,5,FALSE))^(1/12)-1</f>
        <v>4.0741237836483535E-3</v>
      </c>
      <c r="U44" s="8">
        <f t="shared" ca="1" si="0"/>
        <v>9910.6339852933943</v>
      </c>
      <c r="V44" s="14">
        <f t="shared" ca="1" si="1"/>
        <v>2442491.1130247596</v>
      </c>
      <c r="W44" s="8">
        <f t="shared" ca="1" si="2"/>
        <v>2198906.1784584876</v>
      </c>
      <c r="Y44" s="3"/>
    </row>
    <row r="45" spans="1:25" x14ac:dyDescent="0.2">
      <c r="A45" s="6">
        <f t="shared" ca="1" si="6"/>
        <v>46935</v>
      </c>
      <c r="B45" s="12">
        <f t="shared" ca="1" si="7"/>
        <v>7</v>
      </c>
      <c r="C45" s="7">
        <f ca="1">(YEAR(A45)-YEAR('ÖNYP kalkulátor'!$C$10))+(MONTH(CF!A45)-MONTH('ÖNYP kalkulátor'!$C$10)-1)/12</f>
        <v>47.083333333333336</v>
      </c>
      <c r="D45" s="4">
        <f ca="1">(1+VLOOKUP(YEAR(A45),'ÖNYP kalkulátor'!$E$15:$F$75,2,FALSE))^(1/12)-1</f>
        <v>2.4662697723036864E-3</v>
      </c>
      <c r="E45" s="4">
        <f t="shared" ca="1" si="13"/>
        <v>1.1135149734957908</v>
      </c>
      <c r="F45" s="8">
        <f t="shared" ca="1" si="14"/>
        <v>2442491.1130247596</v>
      </c>
      <c r="G45" s="8">
        <v>10000</v>
      </c>
      <c r="H45" s="8">
        <v>250000</v>
      </c>
      <c r="I45" s="8">
        <v>500000</v>
      </c>
      <c r="J45" s="8">
        <v>750000</v>
      </c>
      <c r="K45" s="8"/>
      <c r="L45" s="4">
        <f ca="1">+IF('ÖNYP kalkulátor'!$C$16="nem",0,
IF(MONTH(A45)=1,VLOOKUP(YEAR(A45),'ÖNYP kalkulátor'!$E$15:$J$75,4),0))</f>
        <v>0</v>
      </c>
      <c r="M45" s="8">
        <f t="shared" ca="1" si="10"/>
        <v>33765.264299999995</v>
      </c>
      <c r="N45" s="8">
        <f t="shared" ca="1" si="11"/>
        <v>11255.088100000001</v>
      </c>
      <c r="O45" s="8">
        <f t="shared" ca="1" si="3"/>
        <v>315142.46679999988</v>
      </c>
      <c r="P45" s="8">
        <f t="shared" ca="1" si="4"/>
        <v>296485.34345999989</v>
      </c>
      <c r="Q45" s="8">
        <f t="shared" ca="1" si="5"/>
        <v>42769.334779999976</v>
      </c>
      <c r="R45" s="13">
        <v>150000</v>
      </c>
      <c r="S45" s="13">
        <f ca="1">MIN(IF(AND(MONTH(A45)=5,'ÖNYP kalkulátor'!$IU$6="igen"),(M45+N45)*12/(1+IF('ÖNYP kalkulátor'!$C$16="nem",0,VLOOKUP(YEAR(A45),'ÖNYP kalkulátor'!$E$15:$J$75,4)))*0.2,0),R45)</f>
        <v>0</v>
      </c>
      <c r="T45" s="4">
        <f ca="1">(1+VLOOKUP(YEAR(A45),'ÖNYP kalkulátor'!$E$15:$F$75,2,FALSE)+VLOOKUP(YEAR(A45),'ÖNYP kalkulátor'!$E$15:$I$75,5,FALSE))^(1/12)-1</f>
        <v>4.0741237836483535E-3</v>
      </c>
      <c r="U45" s="8">
        <f t="shared" ca="1" si="0"/>
        <v>10125.258698961929</v>
      </c>
      <c r="V45" s="14">
        <f t="shared" ca="1" si="1"/>
        <v>2495385.7065037214</v>
      </c>
      <c r="W45" s="8">
        <f t="shared" ca="1" si="2"/>
        <v>2240998.7884308896</v>
      </c>
      <c r="Y45" s="3"/>
    </row>
    <row r="46" spans="1:25" x14ac:dyDescent="0.2">
      <c r="A46" s="6">
        <f t="shared" ca="1" si="6"/>
        <v>46966</v>
      </c>
      <c r="B46" s="12">
        <f t="shared" ca="1" si="7"/>
        <v>8</v>
      </c>
      <c r="C46" s="7">
        <f ca="1">(YEAR(A46)-YEAR('ÖNYP kalkulátor'!$C$10))+(MONTH(CF!A46)-MONTH('ÖNYP kalkulátor'!$C$10)-1)/12</f>
        <v>47.166666666666664</v>
      </c>
      <c r="D46" s="4">
        <f ca="1">(1+VLOOKUP(YEAR(A46),'ÖNYP kalkulátor'!$E$15:$F$75,2,FALSE))^(1/12)-1</f>
        <v>2.4662697723036864E-3</v>
      </c>
      <c r="E46" s="4">
        <f t="shared" ca="1" si="13"/>
        <v>1.116261201815931</v>
      </c>
      <c r="F46" s="8">
        <f t="shared" ca="1" si="14"/>
        <v>2495385.7065037214</v>
      </c>
      <c r="G46" s="8">
        <v>10000</v>
      </c>
      <c r="H46" s="8">
        <v>250000</v>
      </c>
      <c r="I46" s="8">
        <v>500000</v>
      </c>
      <c r="J46" s="8">
        <v>750000</v>
      </c>
      <c r="K46" s="8"/>
      <c r="L46" s="4">
        <f ca="1">+IF('ÖNYP kalkulátor'!$C$16="nem",0,
IF(MONTH(A46)=1,VLOOKUP(YEAR(A46),'ÖNYP kalkulátor'!$E$15:$J$75,4),0))</f>
        <v>0</v>
      </c>
      <c r="M46" s="8">
        <f t="shared" ca="1" si="10"/>
        <v>33765.264299999995</v>
      </c>
      <c r="N46" s="8">
        <f t="shared" ca="1" si="11"/>
        <v>11255.088100000001</v>
      </c>
      <c r="O46" s="8">
        <f t="shared" ca="1" si="3"/>
        <v>360162.81919999985</v>
      </c>
      <c r="P46" s="8">
        <f t="shared" ca="1" si="4"/>
        <v>339254.67823999986</v>
      </c>
      <c r="Q46" s="8">
        <f t="shared" ca="1" si="5"/>
        <v>42769.334779999976</v>
      </c>
      <c r="R46" s="13">
        <v>150000</v>
      </c>
      <c r="S46" s="13">
        <f ca="1">MIN(IF(AND(MONTH(A46)=5,'ÖNYP kalkulátor'!$IU$6="igen"),(M46+N46)*12/(1+IF('ÖNYP kalkulátor'!$C$16="nem",0,VLOOKUP(YEAR(A46),'ÖNYP kalkulátor'!$E$15:$J$75,4)))*0.2,0),R46)</f>
        <v>0</v>
      </c>
      <c r="T46" s="4">
        <f ca="1">(1+VLOOKUP(YEAR(A46),'ÖNYP kalkulátor'!$E$15:$F$75,2,FALSE)+VLOOKUP(YEAR(A46),'ÖNYP kalkulátor'!$E$15:$I$75,5,FALSE))^(1/12)-1</f>
        <v>4.0741237836483535E-3</v>
      </c>
      <c r="U46" s="8">
        <f t="shared" ca="1" si="0"/>
        <v>10340.757820280978</v>
      </c>
      <c r="V46" s="14">
        <f t="shared" ca="1" si="1"/>
        <v>2548495.7991040028</v>
      </c>
      <c r="W46" s="8">
        <f t="shared" ca="1" si="2"/>
        <v>2283064.0310333422</v>
      </c>
      <c r="Y46" s="3"/>
    </row>
    <row r="47" spans="1:25" x14ac:dyDescent="0.2">
      <c r="A47" s="6">
        <f t="shared" ca="1" si="6"/>
        <v>46997</v>
      </c>
      <c r="B47" s="12">
        <f t="shared" ca="1" si="7"/>
        <v>9</v>
      </c>
      <c r="C47" s="7">
        <f ca="1">(YEAR(A47)-YEAR('ÖNYP kalkulátor'!$C$10))+(MONTH(CF!A47)-MONTH('ÖNYP kalkulátor'!$C$10)-1)/12</f>
        <v>47.25</v>
      </c>
      <c r="D47" s="4">
        <f ca="1">(1+VLOOKUP(YEAR(A47),'ÖNYP kalkulátor'!$E$15:$F$75,2,FALSE))^(1/12)-1</f>
        <v>2.4662697723036864E-3</v>
      </c>
      <c r="E47" s="4">
        <f t="shared" ca="1" si="13"/>
        <v>1.1190142030759651</v>
      </c>
      <c r="F47" s="8">
        <f t="shared" ca="1" si="14"/>
        <v>2548495.7991040028</v>
      </c>
      <c r="G47" s="8">
        <v>10000</v>
      </c>
      <c r="H47" s="8">
        <v>250000</v>
      </c>
      <c r="I47" s="8">
        <v>500000</v>
      </c>
      <c r="J47" s="8">
        <v>750000</v>
      </c>
      <c r="K47" s="8"/>
      <c r="L47" s="4">
        <f ca="1">+IF('ÖNYP kalkulátor'!$C$16="nem",0,
IF(MONTH(A47)=1,VLOOKUP(YEAR(A47),'ÖNYP kalkulátor'!$E$15:$J$75,4),0))</f>
        <v>0</v>
      </c>
      <c r="M47" s="8">
        <f t="shared" ca="1" si="10"/>
        <v>33765.264299999995</v>
      </c>
      <c r="N47" s="8">
        <f t="shared" ca="1" si="11"/>
        <v>11255.088100000001</v>
      </c>
      <c r="O47" s="8">
        <f t="shared" ca="1" si="3"/>
        <v>405183.17159999983</v>
      </c>
      <c r="P47" s="8">
        <f t="shared" ca="1" si="4"/>
        <v>382024.01301999984</v>
      </c>
      <c r="Q47" s="8">
        <f t="shared" ca="1" si="5"/>
        <v>42769.334779999976</v>
      </c>
      <c r="R47" s="13">
        <v>150000</v>
      </c>
      <c r="S47" s="13">
        <f ca="1">MIN(IF(AND(MONTH(A47)=5,'ÖNYP kalkulátor'!$IU$6="igen"),(M47+N47)*12/(1+IF('ÖNYP kalkulátor'!$C$16="nem",0,VLOOKUP(YEAR(A47),'ÖNYP kalkulátor'!$E$15:$J$75,4)))*0.2,0),R47)</f>
        <v>0</v>
      </c>
      <c r="T47" s="4">
        <f ca="1">(1+VLOOKUP(YEAR(A47),'ÖNYP kalkulátor'!$E$15:$F$75,2,FALSE)+VLOOKUP(YEAR(A47),'ÖNYP kalkulátor'!$E$15:$I$75,5,FALSE))^(1/12)-1</f>
        <v>4.0741237836483535E-3</v>
      </c>
      <c r="U47" s="8">
        <f t="shared" ca="1" si="0"/>
        <v>10557.134911695552</v>
      </c>
      <c r="V47" s="14">
        <f t="shared" ca="1" si="1"/>
        <v>2601822.2687956984</v>
      </c>
      <c r="W47" s="8">
        <f t="shared" ca="1" si="2"/>
        <v>2325102.095794464</v>
      </c>
      <c r="Y47" s="3"/>
    </row>
    <row r="48" spans="1:25" x14ac:dyDescent="0.2">
      <c r="A48" s="6">
        <f t="shared" ca="1" si="6"/>
        <v>47027</v>
      </c>
      <c r="B48" s="12">
        <f t="shared" ca="1" si="7"/>
        <v>10</v>
      </c>
      <c r="C48" s="7">
        <f ca="1">(YEAR(A48)-YEAR('ÖNYP kalkulátor'!$C$10))+(MONTH(CF!A48)-MONTH('ÖNYP kalkulátor'!$C$10)-1)/12</f>
        <v>47.333333333333336</v>
      </c>
      <c r="D48" s="4">
        <f ca="1">(1+VLOOKUP(YEAR(A48),'ÖNYP kalkulátor'!$E$15:$F$75,2,FALSE))^(1/12)-1</f>
        <v>2.4662697723036864E-3</v>
      </c>
      <c r="E48" s="4">
        <f t="shared" ca="1" si="13"/>
        <v>1.1217739939797899</v>
      </c>
      <c r="F48" s="8">
        <f t="shared" ca="1" si="14"/>
        <v>2601822.2687956984</v>
      </c>
      <c r="G48" s="8">
        <v>10000</v>
      </c>
      <c r="H48" s="8">
        <v>250000</v>
      </c>
      <c r="I48" s="8">
        <v>500000</v>
      </c>
      <c r="J48" s="8">
        <v>750000</v>
      </c>
      <c r="K48" s="8"/>
      <c r="L48" s="4">
        <f ca="1">+IF('ÖNYP kalkulátor'!$C$16="nem",0,
IF(MONTH(A48)=1,VLOOKUP(YEAR(A48),'ÖNYP kalkulátor'!$E$15:$J$75,4),0))</f>
        <v>0</v>
      </c>
      <c r="M48" s="8">
        <f t="shared" ca="1" si="10"/>
        <v>33765.264299999995</v>
      </c>
      <c r="N48" s="8">
        <f t="shared" ca="1" si="11"/>
        <v>11255.088100000001</v>
      </c>
      <c r="O48" s="8">
        <f t="shared" ca="1" si="3"/>
        <v>450203.5239999998</v>
      </c>
      <c r="P48" s="8">
        <f t="shared" ca="1" si="4"/>
        <v>424793.34779999981</v>
      </c>
      <c r="Q48" s="8">
        <f t="shared" ca="1" si="5"/>
        <v>42769.334779999976</v>
      </c>
      <c r="R48" s="13">
        <v>150000</v>
      </c>
      <c r="S48" s="13">
        <f ca="1">MIN(IF(AND(MONTH(A48)=5,'ÖNYP kalkulátor'!$IU$6="igen"),(M48+N48)*12/(1+IF('ÖNYP kalkulátor'!$C$16="nem",0,VLOOKUP(YEAR(A48),'ÖNYP kalkulátor'!$E$15:$J$75,4)))*0.2,0),R48)</f>
        <v>0</v>
      </c>
      <c r="T48" s="4">
        <f ca="1">(1+VLOOKUP(YEAR(A48),'ÖNYP kalkulátor'!$E$15:$F$75,2,FALSE)+VLOOKUP(YEAR(A48),'ÖNYP kalkulátor'!$E$15:$I$75,5,FALSE))^(1/12)-1</f>
        <v>4.0741237836483535E-3</v>
      </c>
      <c r="U48" s="8">
        <f t="shared" ca="1" si="0"/>
        <v>10774.393550164492</v>
      </c>
      <c r="V48" s="14">
        <f t="shared" ca="1" si="1"/>
        <v>2655365.9971258631</v>
      </c>
      <c r="W48" s="8">
        <f t="shared" ca="1" si="2"/>
        <v>2367113.1719725914</v>
      </c>
      <c r="Y48" s="3"/>
    </row>
    <row r="49" spans="1:25" x14ac:dyDescent="0.2">
      <c r="A49" s="6">
        <f t="shared" ca="1" si="6"/>
        <v>47058</v>
      </c>
      <c r="B49" s="12">
        <f t="shared" ca="1" si="7"/>
        <v>11</v>
      </c>
      <c r="C49" s="7">
        <f ca="1">(YEAR(A49)-YEAR('ÖNYP kalkulátor'!$C$10))+(MONTH(CF!A49)-MONTH('ÖNYP kalkulátor'!$C$10)-1)/12</f>
        <v>47.416666666666664</v>
      </c>
      <c r="D49" s="4">
        <f ca="1">(1+VLOOKUP(YEAR(A49),'ÖNYP kalkulátor'!$E$15:$F$75,2,FALSE))^(1/12)-1</f>
        <v>2.4662697723036864E-3</v>
      </c>
      <c r="E49" s="4">
        <f t="shared" ca="1" si="13"/>
        <v>1.1245405912724986</v>
      </c>
      <c r="F49" s="8">
        <f t="shared" ca="1" si="14"/>
        <v>2655365.9971258631</v>
      </c>
      <c r="G49" s="8">
        <v>10000</v>
      </c>
      <c r="H49" s="8">
        <v>250000</v>
      </c>
      <c r="I49" s="8">
        <v>500000</v>
      </c>
      <c r="J49" s="8">
        <v>750000</v>
      </c>
      <c r="K49" s="8"/>
      <c r="L49" s="4">
        <f ca="1">+IF('ÖNYP kalkulátor'!$C$16="nem",0,
IF(MONTH(A49)=1,VLOOKUP(YEAR(A49),'ÖNYP kalkulátor'!$E$15:$J$75,4),0))</f>
        <v>0</v>
      </c>
      <c r="M49" s="8">
        <f t="shared" ca="1" si="10"/>
        <v>33765.264299999995</v>
      </c>
      <c r="N49" s="8">
        <f t="shared" ca="1" si="11"/>
        <v>11255.088100000001</v>
      </c>
      <c r="O49" s="8">
        <f t="shared" ca="1" si="3"/>
        <v>495223.87639999978</v>
      </c>
      <c r="P49" s="8">
        <f t="shared" ca="1" si="4"/>
        <v>467562.68257999979</v>
      </c>
      <c r="Q49" s="8">
        <f t="shared" ca="1" si="5"/>
        <v>42769.334779999976</v>
      </c>
      <c r="R49" s="13">
        <v>150000</v>
      </c>
      <c r="S49" s="13">
        <f ca="1">MIN(IF(AND(MONTH(A49)=5,'ÖNYP kalkulátor'!$IU$6="igen"),(M49+N49)*12/(1+IF('ÖNYP kalkulátor'!$C$16="nem",0,VLOOKUP(YEAR(A49),'ÖNYP kalkulátor'!$E$15:$J$75,4)))*0.2,0),R49)</f>
        <v>0</v>
      </c>
      <c r="T49" s="4">
        <f ca="1">(1+VLOOKUP(YEAR(A49),'ÖNYP kalkulátor'!$E$15:$F$75,2,FALSE)+VLOOKUP(YEAR(A49),'ÖNYP kalkulátor'!$E$15:$I$75,5,FALSE))^(1/12)-1</f>
        <v>4.0741237836483535E-3</v>
      </c>
      <c r="U49" s="8">
        <f t="shared" ca="1" si="0"/>
        <v>10992.537327219621</v>
      </c>
      <c r="V49" s="14">
        <f t="shared" ca="1" si="1"/>
        <v>2709127.869233083</v>
      </c>
      <c r="W49" s="8">
        <f t="shared" ca="1" si="2"/>
        <v>2409097.4485567566</v>
      </c>
      <c r="Y49" s="3"/>
    </row>
    <row r="50" spans="1:25" x14ac:dyDescent="0.2">
      <c r="A50" s="6">
        <f t="shared" ca="1" si="6"/>
        <v>47088</v>
      </c>
      <c r="B50" s="12">
        <f t="shared" ca="1" si="7"/>
        <v>12</v>
      </c>
      <c r="C50" s="7">
        <f ca="1">(YEAR(A50)-YEAR('ÖNYP kalkulátor'!$C$10))+(MONTH(CF!A50)-MONTH('ÖNYP kalkulátor'!$C$10)-1)/12</f>
        <v>47.5</v>
      </c>
      <c r="D50" s="4">
        <f ca="1">(1+VLOOKUP(YEAR(A50),'ÖNYP kalkulátor'!$E$15:$F$75,2,FALSE))^(1/12)-1</f>
        <v>2.4662697723036864E-3</v>
      </c>
      <c r="E50" s="4">
        <f t="shared" ca="1" si="13"/>
        <v>1.1273140117404825</v>
      </c>
      <c r="F50" s="8">
        <f t="shared" ca="1" si="14"/>
        <v>2709127.869233083</v>
      </c>
      <c r="G50" s="8">
        <v>10000</v>
      </c>
      <c r="H50" s="8">
        <v>250000</v>
      </c>
      <c r="I50" s="8">
        <v>500000</v>
      </c>
      <c r="J50" s="8">
        <v>750000</v>
      </c>
      <c r="K50" s="8"/>
      <c r="L50" s="4">
        <f ca="1">+IF('ÖNYP kalkulátor'!$C$16="nem",0,
IF(MONTH(A50)=1,VLOOKUP(YEAR(A50),'ÖNYP kalkulátor'!$E$15:$J$75,4),0))</f>
        <v>0</v>
      </c>
      <c r="M50" s="8">
        <f t="shared" ca="1" si="10"/>
        <v>33765.264299999995</v>
      </c>
      <c r="N50" s="8">
        <f t="shared" ca="1" si="11"/>
        <v>11255.088100000001</v>
      </c>
      <c r="O50" s="8">
        <f t="shared" ca="1" si="3"/>
        <v>540244.22879999981</v>
      </c>
      <c r="P50" s="8">
        <f t="shared" ca="1" si="4"/>
        <v>511539.34422399983</v>
      </c>
      <c r="Q50" s="8">
        <f t="shared" ca="1" si="5"/>
        <v>43976.661644000036</v>
      </c>
      <c r="R50" s="13">
        <v>150000</v>
      </c>
      <c r="S50" s="13">
        <f ca="1">MIN(IF(AND(MONTH(A50)=5,'ÖNYP kalkulátor'!$IU$6="igen"),(M50+N50)*12/(1+IF('ÖNYP kalkulátor'!$C$16="nem",0,VLOOKUP(YEAR(A50),'ÖNYP kalkulátor'!$E$15:$J$75,4)))*0.2,0),R50)</f>
        <v>0</v>
      </c>
      <c r="T50" s="4">
        <f ca="1">(1+VLOOKUP(YEAR(A50),'ÖNYP kalkulátor'!$E$15:$F$75,2,FALSE)+VLOOKUP(YEAR(A50),'ÖNYP kalkulátor'!$E$15:$I$75,5,FALSE))^(1/12)-1</f>
        <v>4.0741237836483535E-3</v>
      </c>
      <c r="U50" s="8">
        <f t="shared" ca="1" si="0"/>
        <v>11216.488648116367</v>
      </c>
      <c r="V50" s="14">
        <f t="shared" ca="1" si="1"/>
        <v>2764321.0195251997</v>
      </c>
      <c r="W50" s="8">
        <f t="shared" ca="1" si="2"/>
        <v>2452130.4541024105</v>
      </c>
      <c r="Y50" s="3"/>
    </row>
    <row r="51" spans="1:25" x14ac:dyDescent="0.2">
      <c r="A51" s="6">
        <f t="shared" ca="1" si="6"/>
        <v>47119</v>
      </c>
      <c r="B51" s="12">
        <f t="shared" ca="1" si="7"/>
        <v>1</v>
      </c>
      <c r="C51" s="7">
        <f ca="1">(YEAR(A51)-YEAR('ÖNYP kalkulátor'!$C$10))+(MONTH(CF!A51)-MONTH('ÖNYP kalkulátor'!$C$10)-1)/12</f>
        <v>47.583333333333336</v>
      </c>
      <c r="D51" s="4">
        <f ca="1">(1+VLOOKUP(YEAR(A51),'ÖNYP kalkulátor'!$E$15:$F$75,2,FALSE))^(1/12)-1</f>
        <v>2.4662697723036864E-3</v>
      </c>
      <c r="E51" s="4">
        <f t="shared" ca="1" si="13"/>
        <v>1.1300942722115324</v>
      </c>
      <c r="F51" s="8">
        <f t="shared" ca="1" si="14"/>
        <v>2764321.0195251997</v>
      </c>
      <c r="G51" s="8">
        <v>10000</v>
      </c>
      <c r="H51" s="8">
        <v>250000</v>
      </c>
      <c r="I51" s="8">
        <v>500000</v>
      </c>
      <c r="J51" s="8">
        <v>750000</v>
      </c>
      <c r="K51" s="8"/>
      <c r="L51" s="4">
        <f ca="1">+IF('ÖNYP kalkulátor'!$C$16="nem",0,
IF(MONTH(A51)=1,VLOOKUP(YEAR(A51),'ÖNYP kalkulátor'!$E$15:$J$75,4),0))</f>
        <v>0.03</v>
      </c>
      <c r="M51" s="8">
        <f t="shared" ca="1" si="10"/>
        <v>34778.222228999999</v>
      </c>
      <c r="N51" s="8">
        <f t="shared" ca="1" si="11"/>
        <v>11592.740743</v>
      </c>
      <c r="O51" s="8">
        <f t="shared" ca="1" si="3"/>
        <v>46370.962972000001</v>
      </c>
      <c r="P51" s="8">
        <f t="shared" ca="1" si="4"/>
        <v>43188.705193679998</v>
      </c>
      <c r="Q51" s="8">
        <f t="shared" ca="1" si="5"/>
        <v>43188.705193679998</v>
      </c>
      <c r="R51" s="13">
        <v>150000</v>
      </c>
      <c r="S51" s="13">
        <f ca="1">MIN(IF(AND(MONTH(A51)=5,'ÖNYP kalkulátor'!$IU$6="igen"),(M51+N51)*12/(1+IF('ÖNYP kalkulátor'!$C$16="nem",0,VLOOKUP(YEAR(A51),'ÖNYP kalkulátor'!$E$15:$J$75,4)))*0.2,0),R51)</f>
        <v>0</v>
      </c>
      <c r="T51" s="4">
        <f ca="1">(1+VLOOKUP(YEAR(A51),'ÖNYP kalkulátor'!$E$15:$F$75,2,FALSE)+VLOOKUP(YEAR(A51),'ÖNYP kalkulátor'!$E$15:$I$75,5,FALSE))^(1/12)-1</f>
        <v>4.0741237836483535E-3</v>
      </c>
      <c r="U51" s="8">
        <f t="shared" ca="1" si="0"/>
        <v>11438.142142301229</v>
      </c>
      <c r="V51" s="14">
        <f t="shared" ca="1" si="1"/>
        <v>2818947.8668611809</v>
      </c>
      <c r="W51" s="8">
        <f t="shared" ca="1" si="2"/>
        <v>2494436.0273100534</v>
      </c>
      <c r="Y51" s="3"/>
    </row>
    <row r="52" spans="1:25" x14ac:dyDescent="0.2">
      <c r="A52" s="6">
        <f t="shared" ca="1" si="6"/>
        <v>47150</v>
      </c>
      <c r="B52" s="12">
        <f t="shared" ca="1" si="7"/>
        <v>2</v>
      </c>
      <c r="C52" s="7">
        <f ca="1">(YEAR(A52)-YEAR('ÖNYP kalkulátor'!$C$10))+(MONTH(CF!A52)-MONTH('ÖNYP kalkulátor'!$C$10)-1)/12</f>
        <v>47.666666666666664</v>
      </c>
      <c r="D52" s="4">
        <f ca="1">(1+VLOOKUP(YEAR(A52),'ÖNYP kalkulátor'!$E$15:$F$75,2,FALSE))^(1/12)-1</f>
        <v>2.4662697723036864E-3</v>
      </c>
      <c r="E52" s="4">
        <f t="shared" ca="1" si="13"/>
        <v>1.1328813895549412</v>
      </c>
      <c r="F52" s="8">
        <f t="shared" ca="1" si="14"/>
        <v>2818947.8668611809</v>
      </c>
      <c r="G52" s="8">
        <v>10000</v>
      </c>
      <c r="H52" s="8">
        <v>250000</v>
      </c>
      <c r="I52" s="8">
        <v>500000</v>
      </c>
      <c r="J52" s="8">
        <v>750000</v>
      </c>
      <c r="K52" s="8"/>
      <c r="L52" s="4">
        <f ca="1">+IF('ÖNYP kalkulátor'!$C$16="nem",0,
IF(MONTH(A52)=1,VLOOKUP(YEAR(A52),'ÖNYP kalkulátor'!$E$15:$J$75,4),0))</f>
        <v>0</v>
      </c>
      <c r="M52" s="8">
        <f t="shared" ca="1" si="10"/>
        <v>34778.222228999999</v>
      </c>
      <c r="N52" s="8">
        <f t="shared" ca="1" si="11"/>
        <v>11592.740743</v>
      </c>
      <c r="O52" s="8">
        <f t="shared" ca="1" si="3"/>
        <v>92741.925944000002</v>
      </c>
      <c r="P52" s="8">
        <f t="shared" ca="1" si="4"/>
        <v>86777.410387359996</v>
      </c>
      <c r="Q52" s="8">
        <f t="shared" ca="1" si="5"/>
        <v>43588.705193679998</v>
      </c>
      <c r="R52" s="13">
        <v>150000</v>
      </c>
      <c r="S52" s="13">
        <f ca="1">MIN(IF(AND(MONTH(A52)=5,'ÖNYP kalkulátor'!$IU$6="igen"),(M52+N52)*12/(1+IF('ÖNYP kalkulátor'!$C$16="nem",0,VLOOKUP(YEAR(A52),'ÖNYP kalkulátor'!$E$15:$J$75,4)))*0.2,0),R52)</f>
        <v>0</v>
      </c>
      <c r="T52" s="4">
        <f ca="1">(1+VLOOKUP(YEAR(A52),'ÖNYP kalkulátor'!$E$15:$F$75,2,FALSE)+VLOOKUP(YEAR(A52),'ÖNYP kalkulátor'!$E$15:$I$75,5,FALSE))^(1/12)-1</f>
        <v>4.0741237836483535E-3</v>
      </c>
      <c r="U52" s="8">
        <f t="shared" ca="1" si="0"/>
        <v>11662.328329771937</v>
      </c>
      <c r="V52" s="14">
        <f t="shared" ca="1" si="1"/>
        <v>2874198.9003846324</v>
      </c>
      <c r="W52" s="8">
        <f t="shared" ca="1" si="2"/>
        <v>2537069.5704638395</v>
      </c>
      <c r="Y52" s="3"/>
    </row>
    <row r="53" spans="1:25" x14ac:dyDescent="0.2">
      <c r="A53" s="6">
        <f t="shared" ca="1" si="6"/>
        <v>47178</v>
      </c>
      <c r="B53" s="12">
        <f t="shared" ca="1" si="7"/>
        <v>3</v>
      </c>
      <c r="C53" s="7">
        <f ca="1">(YEAR(A53)-YEAR('ÖNYP kalkulátor'!$C$10))+(MONTH(CF!A53)-MONTH('ÖNYP kalkulátor'!$C$10)-1)/12</f>
        <v>47.75</v>
      </c>
      <c r="D53" s="4">
        <f ca="1">(1+VLOOKUP(YEAR(A53),'ÖNYP kalkulátor'!$E$15:$F$75,2,FALSE))^(1/12)-1</f>
        <v>2.4662697723036864E-3</v>
      </c>
      <c r="E53" s="4">
        <f t="shared" ca="1" si="13"/>
        <v>1.135675380681606</v>
      </c>
      <c r="F53" s="8">
        <f t="shared" ca="1" si="14"/>
        <v>2874198.9003846324</v>
      </c>
      <c r="G53" s="8">
        <v>10000</v>
      </c>
      <c r="H53" s="8">
        <v>250000</v>
      </c>
      <c r="I53" s="8">
        <v>500000</v>
      </c>
      <c r="J53" s="8">
        <v>750000</v>
      </c>
      <c r="K53" s="8"/>
      <c r="L53" s="4">
        <f ca="1">+IF('ÖNYP kalkulátor'!$C$16="nem",0,
IF(MONTH(A53)=1,VLOOKUP(YEAR(A53),'ÖNYP kalkulátor'!$E$15:$J$75,4),0))</f>
        <v>0</v>
      </c>
      <c r="M53" s="8">
        <f t="shared" ca="1" si="10"/>
        <v>34778.222228999999</v>
      </c>
      <c r="N53" s="8">
        <f t="shared" ca="1" si="11"/>
        <v>11592.740743</v>
      </c>
      <c r="O53" s="8">
        <f t="shared" ca="1" si="3"/>
        <v>139112.888916</v>
      </c>
      <c r="P53" s="8">
        <f t="shared" ca="1" si="4"/>
        <v>130366.11558103999</v>
      </c>
      <c r="Q53" s="8">
        <f t="shared" ca="1" si="5"/>
        <v>43588.705193679998</v>
      </c>
      <c r="R53" s="13">
        <v>150000</v>
      </c>
      <c r="S53" s="13">
        <f ca="1">MIN(IF(AND(MONTH(A53)=5,'ÖNYP kalkulátor'!$IU$6="igen"),(M53+N53)*12/(1+IF('ÖNYP kalkulátor'!$C$16="nem",0,VLOOKUP(YEAR(A53),'ÖNYP kalkulátor'!$E$15:$J$75,4)))*0.2,0),R53)</f>
        <v>0</v>
      </c>
      <c r="T53" s="4">
        <f ca="1">(1+VLOOKUP(YEAR(A53),'ÖNYP kalkulátor'!$E$15:$F$75,2,FALSE)+VLOOKUP(YEAR(A53),'ÖNYP kalkulátor'!$E$15:$I$75,5,FALSE))^(1/12)-1</f>
        <v>4.0741237836483535E-3</v>
      </c>
      <c r="U53" s="8">
        <f t="shared" ca="1" si="0"/>
        <v>11887.427879520983</v>
      </c>
      <c r="V53" s="14">
        <f t="shared" ca="1" si="1"/>
        <v>2929675.0334578333</v>
      </c>
      <c r="W53" s="8">
        <f t="shared" ca="1" si="2"/>
        <v>2579676.4491799674</v>
      </c>
      <c r="Y53" s="3"/>
    </row>
    <row r="54" spans="1:25" x14ac:dyDescent="0.2">
      <c r="A54" s="6">
        <f t="shared" ca="1" si="6"/>
        <v>47209</v>
      </c>
      <c r="B54" s="12">
        <f t="shared" ca="1" si="7"/>
        <v>4</v>
      </c>
      <c r="C54" s="7">
        <f ca="1">(YEAR(A54)-YEAR('ÖNYP kalkulátor'!$C$10))+(MONTH(CF!A54)-MONTH('ÖNYP kalkulátor'!$C$10)-1)/12</f>
        <v>47.833333333333336</v>
      </c>
      <c r="D54" s="4">
        <f ca="1">(1+VLOOKUP(YEAR(A54),'ÖNYP kalkulátor'!$E$15:$F$75,2,FALSE))^(1/12)-1</f>
        <v>2.4662697723036864E-3</v>
      </c>
      <c r="E54" s="4">
        <f t="shared" ca="1" si="13"/>
        <v>1.1384762625441305</v>
      </c>
      <c r="F54" s="8">
        <f t="shared" ca="1" si="14"/>
        <v>2929675.0334578333</v>
      </c>
      <c r="G54" s="8">
        <v>10000</v>
      </c>
      <c r="H54" s="8">
        <v>250000</v>
      </c>
      <c r="I54" s="8">
        <v>500000</v>
      </c>
      <c r="J54" s="8">
        <v>750000</v>
      </c>
      <c r="K54" s="8"/>
      <c r="L54" s="4">
        <f ca="1">+IF('ÖNYP kalkulátor'!$C$16="nem",0,
IF(MONTH(A54)=1,VLOOKUP(YEAR(A54),'ÖNYP kalkulátor'!$E$15:$J$75,4),0))</f>
        <v>0</v>
      </c>
      <c r="M54" s="8">
        <f t="shared" ca="1" si="10"/>
        <v>34778.222228999999</v>
      </c>
      <c r="N54" s="8">
        <f t="shared" ca="1" si="11"/>
        <v>11592.740743</v>
      </c>
      <c r="O54" s="8">
        <f t="shared" ca="1" si="3"/>
        <v>185483.851888</v>
      </c>
      <c r="P54" s="8">
        <f t="shared" ca="1" si="4"/>
        <v>173954.82077471999</v>
      </c>
      <c r="Q54" s="8">
        <f t="shared" ca="1" si="5"/>
        <v>43588.705193679998</v>
      </c>
      <c r="R54" s="13">
        <v>150000</v>
      </c>
      <c r="S54" s="13">
        <f ca="1">MIN(IF(AND(MONTH(A54)=5,'ÖNYP kalkulátor'!$IU$6="igen"),(M54+N54)*12/(1+IF('ÖNYP kalkulátor'!$C$16="nem",0,VLOOKUP(YEAR(A54),'ÖNYP kalkulátor'!$E$15:$J$75,4)))*0.2,0),R54)</f>
        <v>0</v>
      </c>
      <c r="T54" s="4">
        <f ca="1">(1+VLOOKUP(YEAR(A54),'ÖNYP kalkulátor'!$E$15:$F$75,2,FALSE)+VLOOKUP(YEAR(A54),'ÖNYP kalkulátor'!$E$15:$I$75,5,FALSE))^(1/12)-1</f>
        <v>4.0741237836483535E-3</v>
      </c>
      <c r="U54" s="8">
        <f t="shared" ca="1" si="0"/>
        <v>12113.444512699352</v>
      </c>
      <c r="V54" s="14">
        <f t="shared" ca="1" si="1"/>
        <v>2985377.1831642124</v>
      </c>
      <c r="W54" s="8">
        <f t="shared" ca="1" si="2"/>
        <v>2622256.8545196094</v>
      </c>
      <c r="Y54" s="3"/>
    </row>
    <row r="55" spans="1:25" x14ac:dyDescent="0.2">
      <c r="A55" s="6">
        <f t="shared" ca="1" si="6"/>
        <v>47239</v>
      </c>
      <c r="B55" s="12">
        <f t="shared" ca="1" si="7"/>
        <v>5</v>
      </c>
      <c r="C55" s="7">
        <f ca="1">(YEAR(A55)-YEAR('ÖNYP kalkulátor'!$C$10))+(MONTH(CF!A55)-MONTH('ÖNYP kalkulátor'!$C$10)-1)/12</f>
        <v>47.916666666666664</v>
      </c>
      <c r="D55" s="4">
        <f ca="1">(1+VLOOKUP(YEAR(A55),'ÖNYP kalkulátor'!$E$15:$F$75,2,FALSE))^(1/12)-1</f>
        <v>2.4662697723036864E-3</v>
      </c>
      <c r="E55" s="4">
        <f t="shared" ca="1" si="13"/>
        <v>1.1412840521369283</v>
      </c>
      <c r="F55" s="8">
        <f t="shared" ca="1" si="14"/>
        <v>2985377.1831642124</v>
      </c>
      <c r="G55" s="8">
        <v>10000</v>
      </c>
      <c r="H55" s="8">
        <v>250000</v>
      </c>
      <c r="I55" s="8">
        <v>500000</v>
      </c>
      <c r="J55" s="8">
        <v>750000</v>
      </c>
      <c r="K55" s="8"/>
      <c r="L55" s="4">
        <f ca="1">+IF('ÖNYP kalkulátor'!$C$16="nem",0,
IF(MONTH(A55)=1,VLOOKUP(YEAR(A55),'ÖNYP kalkulátor'!$E$15:$J$75,4),0))</f>
        <v>0</v>
      </c>
      <c r="M55" s="8">
        <f t="shared" ca="1" si="10"/>
        <v>34778.222228999999</v>
      </c>
      <c r="N55" s="8">
        <f t="shared" ca="1" si="11"/>
        <v>11592.740743</v>
      </c>
      <c r="O55" s="8">
        <f t="shared" ca="1" si="3"/>
        <v>231854.81486000001</v>
      </c>
      <c r="P55" s="8">
        <f t="shared" ca="1" si="4"/>
        <v>217543.5259684</v>
      </c>
      <c r="Q55" s="8">
        <f t="shared" ca="1" si="5"/>
        <v>43588.705193680013</v>
      </c>
      <c r="R55" s="13">
        <v>150000</v>
      </c>
      <c r="S55" s="13">
        <f ca="1">MIN(IF(AND(MONTH(A55)=5,'ÖNYP kalkulátor'!$IU$6="igen"),(M55+N55)*12/(1+IF('ÖNYP kalkulátor'!$C$16="nem",0,VLOOKUP(YEAR(A55),'ÖNYP kalkulátor'!$E$15:$J$75,4)))*0.2,0),R55)</f>
        <v>108048.84576</v>
      </c>
      <c r="T55" s="4">
        <f ca="1">(1+VLOOKUP(YEAR(A55),'ÖNYP kalkulátor'!$E$15:$F$75,2,FALSE)+VLOOKUP(YEAR(A55),'ÖNYP kalkulátor'!$E$15:$I$75,5,FALSE))^(1/12)-1</f>
        <v>4.0741237836483535E-3</v>
      </c>
      <c r="U55" s="8">
        <f t="shared" ca="1" si="0"/>
        <v>12780.586337925022</v>
      </c>
      <c r="V55" s="14">
        <f t="shared" ca="1" si="1"/>
        <v>3149795.3204558175</v>
      </c>
      <c r="W55" s="8">
        <f t="shared" ca="1" si="2"/>
        <v>2759869.7401914746</v>
      </c>
      <c r="Y55" s="3"/>
    </row>
    <row r="56" spans="1:25" x14ac:dyDescent="0.2">
      <c r="A56" s="6">
        <f t="shared" ca="1" si="6"/>
        <v>47270</v>
      </c>
      <c r="B56" s="12">
        <f t="shared" ca="1" si="7"/>
        <v>6</v>
      </c>
      <c r="C56" s="7">
        <f ca="1">(YEAR(A56)-YEAR('ÖNYP kalkulátor'!$C$10))+(MONTH(CF!A56)-MONTH('ÖNYP kalkulátor'!$C$10)-1)/12</f>
        <v>48</v>
      </c>
      <c r="D56" s="4">
        <f ca="1">(1+VLOOKUP(YEAR(A56),'ÖNYP kalkulátor'!$E$15:$F$75,2,FALSE))^(1/12)-1</f>
        <v>2.4662697723036864E-3</v>
      </c>
      <c r="E56" s="4">
        <f t="shared" ca="1" si="13"/>
        <v>1.1440987664963258</v>
      </c>
      <c r="F56" s="8">
        <f t="shared" ca="1" si="14"/>
        <v>3149795.3204558175</v>
      </c>
      <c r="G56" s="8">
        <v>10000</v>
      </c>
      <c r="H56" s="8">
        <v>250000</v>
      </c>
      <c r="I56" s="8">
        <v>500000</v>
      </c>
      <c r="J56" s="8">
        <v>750000</v>
      </c>
      <c r="K56" s="8"/>
      <c r="L56" s="4">
        <f ca="1">+IF('ÖNYP kalkulátor'!$C$16="nem",0,
IF(MONTH(A56)=1,VLOOKUP(YEAR(A56),'ÖNYP kalkulátor'!$E$15:$J$75,4),0))</f>
        <v>0</v>
      </c>
      <c r="M56" s="8">
        <f t="shared" ca="1" si="10"/>
        <v>34778.222228999999</v>
      </c>
      <c r="N56" s="8">
        <f t="shared" ca="1" si="11"/>
        <v>11592.740743</v>
      </c>
      <c r="O56" s="8">
        <f t="shared" ca="1" si="3"/>
        <v>278225.77783199999</v>
      </c>
      <c r="P56" s="8">
        <f t="shared" ca="1" si="4"/>
        <v>261414.48894039998</v>
      </c>
      <c r="Q56" s="8">
        <f t="shared" ca="1" si="5"/>
        <v>43870.962971999979</v>
      </c>
      <c r="R56" s="13">
        <v>150000</v>
      </c>
      <c r="S56" s="13">
        <f ca="1">MIN(IF(AND(MONTH(A56)=5,'ÖNYP kalkulátor'!$IU$6="igen"),(M56+N56)*12/(1+IF('ÖNYP kalkulátor'!$C$16="nem",0,VLOOKUP(YEAR(A56),'ÖNYP kalkulátor'!$E$15:$J$75,4)))*0.2,0),R56)</f>
        <v>0</v>
      </c>
      <c r="T56" s="4">
        <f ca="1">(1+VLOOKUP(YEAR(A56),'ÖNYP kalkulátor'!$E$15:$F$75,2,FALSE)+VLOOKUP(YEAR(A56),'ÖNYP kalkulátor'!$E$15:$I$75,5,FALSE))^(1/12)-1</f>
        <v>4.0741237836483535E-3</v>
      </c>
      <c r="U56" s="8">
        <f t="shared" ca="1" si="0"/>
        <v>13011.391762349114</v>
      </c>
      <c r="V56" s="14">
        <f t="shared" ca="1" si="1"/>
        <v>3206677.6751901666</v>
      </c>
      <c r="W56" s="8">
        <f t="shared" ca="1" si="2"/>
        <v>2802797.9481266793</v>
      </c>
      <c r="Y56" s="3"/>
    </row>
    <row r="57" spans="1:25" x14ac:dyDescent="0.2">
      <c r="A57" s="6">
        <f t="shared" ca="1" si="6"/>
        <v>47300</v>
      </c>
      <c r="B57" s="12">
        <f t="shared" ca="1" si="7"/>
        <v>7</v>
      </c>
      <c r="C57" s="7">
        <f ca="1">(YEAR(A57)-YEAR('ÖNYP kalkulátor'!$C$10))+(MONTH(CF!A57)-MONTH('ÖNYP kalkulátor'!$C$10)-1)/12</f>
        <v>48.083333333333336</v>
      </c>
      <c r="D57" s="4">
        <f ca="1">(1+VLOOKUP(YEAR(A57),'ÖNYP kalkulátor'!$E$15:$F$75,2,FALSE))^(1/12)-1</f>
        <v>2.4662697723036864E-3</v>
      </c>
      <c r="E57" s="4">
        <f t="shared" ca="1" si="13"/>
        <v>1.1469204227006655</v>
      </c>
      <c r="F57" s="8">
        <f t="shared" ca="1" si="14"/>
        <v>3206677.6751901666</v>
      </c>
      <c r="G57" s="8">
        <v>10000</v>
      </c>
      <c r="H57" s="8">
        <v>250000</v>
      </c>
      <c r="I57" s="8">
        <v>500000</v>
      </c>
      <c r="J57" s="8">
        <v>750000</v>
      </c>
      <c r="K57" s="8"/>
      <c r="L57" s="4">
        <f ca="1">+IF('ÖNYP kalkulátor'!$C$16="nem",0,
IF(MONTH(A57)=1,VLOOKUP(YEAR(A57),'ÖNYP kalkulátor'!$E$15:$J$75,4),0))</f>
        <v>0</v>
      </c>
      <c r="M57" s="8">
        <f t="shared" ca="1" si="10"/>
        <v>34778.222228999999</v>
      </c>
      <c r="N57" s="8">
        <f t="shared" ca="1" si="11"/>
        <v>11592.740743</v>
      </c>
      <c r="O57" s="8">
        <f t="shared" ca="1" si="3"/>
        <v>324596.740804</v>
      </c>
      <c r="P57" s="8">
        <f t="shared" ca="1" si="4"/>
        <v>305466.90376379999</v>
      </c>
      <c r="Q57" s="8">
        <f t="shared" ca="1" si="5"/>
        <v>44052.414823400002</v>
      </c>
      <c r="R57" s="13">
        <v>150000</v>
      </c>
      <c r="S57" s="13">
        <f ca="1">MIN(IF(AND(MONTH(A57)=5,'ÖNYP kalkulátor'!$IU$6="igen"),(M57+N57)*12/(1+IF('ÖNYP kalkulátor'!$C$16="nem",0,VLOOKUP(YEAR(A57),'ÖNYP kalkulátor'!$E$15:$J$75,4)))*0.2,0),R57)</f>
        <v>0</v>
      </c>
      <c r="T57" s="4">
        <f ca="1">(1+VLOOKUP(YEAR(A57),'ÖNYP kalkulátor'!$E$15:$F$75,2,FALSE)+VLOOKUP(YEAR(A57),'ÖNYP kalkulátor'!$E$15:$I$75,5,FALSE))^(1/12)-1</f>
        <v>4.0741237836483535E-3</v>
      </c>
      <c r="U57" s="8">
        <f t="shared" ca="1" si="0"/>
        <v>13243.876773945623</v>
      </c>
      <c r="V57" s="14">
        <f t="shared" ca="1" si="1"/>
        <v>3263973.9667875119</v>
      </c>
      <c r="W57" s="8">
        <f t="shared" ca="1" si="2"/>
        <v>2845859.1391212638</v>
      </c>
      <c r="Y57" s="3"/>
    </row>
    <row r="58" spans="1:25" x14ac:dyDescent="0.2">
      <c r="A58" s="6">
        <f t="shared" ca="1" si="6"/>
        <v>47331</v>
      </c>
      <c r="B58" s="12">
        <f t="shared" ca="1" si="7"/>
        <v>8</v>
      </c>
      <c r="C58" s="7">
        <f ca="1">(YEAR(A58)-YEAR('ÖNYP kalkulátor'!$C$10))+(MONTH(CF!A58)-MONTH('ÖNYP kalkulátor'!$C$10)-1)/12</f>
        <v>48.166666666666664</v>
      </c>
      <c r="D58" s="4">
        <f ca="1">(1+VLOOKUP(YEAR(A58),'ÖNYP kalkulátor'!$E$15:$F$75,2,FALSE))^(1/12)-1</f>
        <v>2.4662697723036864E-3</v>
      </c>
      <c r="E58" s="4">
        <f t="shared" ca="1" si="13"/>
        <v>1.1497490378704098</v>
      </c>
      <c r="F58" s="8">
        <f t="shared" ca="1" si="14"/>
        <v>3263973.9667875119</v>
      </c>
      <c r="G58" s="8">
        <v>10000</v>
      </c>
      <c r="H58" s="8">
        <v>250000</v>
      </c>
      <c r="I58" s="8">
        <v>500000</v>
      </c>
      <c r="J58" s="8">
        <v>750000</v>
      </c>
      <c r="K58" s="8"/>
      <c r="L58" s="4">
        <f ca="1">+IF('ÖNYP kalkulátor'!$C$16="nem",0,
IF(MONTH(A58)=1,VLOOKUP(YEAR(A58),'ÖNYP kalkulátor'!$E$15:$J$75,4),0))</f>
        <v>0</v>
      </c>
      <c r="M58" s="8">
        <f t="shared" ca="1" si="10"/>
        <v>34778.222228999999</v>
      </c>
      <c r="N58" s="8">
        <f t="shared" ca="1" si="11"/>
        <v>11592.740743</v>
      </c>
      <c r="O58" s="8">
        <f t="shared" ca="1" si="3"/>
        <v>370967.70377600001</v>
      </c>
      <c r="P58" s="8">
        <f t="shared" ca="1" si="4"/>
        <v>349519.31858720002</v>
      </c>
      <c r="Q58" s="8">
        <f t="shared" ca="1" si="5"/>
        <v>44052.414823400031</v>
      </c>
      <c r="R58" s="13">
        <v>150000</v>
      </c>
      <c r="S58" s="13">
        <f ca="1">MIN(IF(AND(MONTH(A58)=5,'ÖNYP kalkulátor'!$IU$6="igen"),(M58+N58)*12/(1+IF('ÖNYP kalkulátor'!$C$16="nem",0,VLOOKUP(YEAR(A58),'ÖNYP kalkulátor'!$E$15:$J$75,4)))*0.2,0),R58)</f>
        <v>0</v>
      </c>
      <c r="T58" s="4">
        <f ca="1">(1+VLOOKUP(YEAR(A58),'ÖNYP kalkulátor'!$E$15:$F$75,2,FALSE)+VLOOKUP(YEAR(A58),'ÖNYP kalkulátor'!$E$15:$I$75,5,FALSE))^(1/12)-1</f>
        <v>4.0741237836483535E-3</v>
      </c>
      <c r="U58" s="8">
        <f t="shared" ca="1" si="0"/>
        <v>13477.308958257219</v>
      </c>
      <c r="V58" s="14">
        <f t="shared" ca="1" si="1"/>
        <v>3321503.6905691689</v>
      </c>
      <c r="W58" s="8">
        <f t="shared" ca="1" si="2"/>
        <v>2888894.5162514164</v>
      </c>
      <c r="Y58" s="3"/>
    </row>
    <row r="59" spans="1:25" x14ac:dyDescent="0.2">
      <c r="A59" s="6">
        <f t="shared" ca="1" si="6"/>
        <v>47362</v>
      </c>
      <c r="B59" s="12">
        <f t="shared" ca="1" si="7"/>
        <v>9</v>
      </c>
      <c r="C59" s="7">
        <f ca="1">(YEAR(A59)-YEAR('ÖNYP kalkulátor'!$C$10))+(MONTH(CF!A59)-MONTH('ÖNYP kalkulátor'!$C$10)-1)/12</f>
        <v>48.25</v>
      </c>
      <c r="D59" s="4">
        <f ca="1">(1+VLOOKUP(YEAR(A59),'ÖNYP kalkulátor'!$E$15:$F$75,2,FALSE))^(1/12)-1</f>
        <v>2.4662697723036864E-3</v>
      </c>
      <c r="E59" s="4">
        <f t="shared" ca="1" si="13"/>
        <v>1.1525846291682449</v>
      </c>
      <c r="F59" s="8">
        <f t="shared" ca="1" si="14"/>
        <v>3321503.6905691689</v>
      </c>
      <c r="G59" s="8">
        <v>10000</v>
      </c>
      <c r="H59" s="8">
        <v>250000</v>
      </c>
      <c r="I59" s="8">
        <v>500000</v>
      </c>
      <c r="J59" s="8">
        <v>750000</v>
      </c>
      <c r="K59" s="8"/>
      <c r="L59" s="4">
        <f ca="1">+IF('ÖNYP kalkulátor'!$C$16="nem",0,
IF(MONTH(A59)=1,VLOOKUP(YEAR(A59),'ÖNYP kalkulátor'!$E$15:$J$75,4),0))</f>
        <v>0</v>
      </c>
      <c r="M59" s="8">
        <f t="shared" ca="1" si="10"/>
        <v>34778.222228999999</v>
      </c>
      <c r="N59" s="8">
        <f t="shared" ca="1" si="11"/>
        <v>11592.740743</v>
      </c>
      <c r="O59" s="8">
        <f t="shared" ca="1" si="3"/>
        <v>417338.66674800002</v>
      </c>
      <c r="P59" s="8">
        <f t="shared" ca="1" si="4"/>
        <v>393571.73341059999</v>
      </c>
      <c r="Q59" s="8">
        <f t="shared" ca="1" si="5"/>
        <v>44052.414823399973</v>
      </c>
      <c r="R59" s="13">
        <v>150000</v>
      </c>
      <c r="S59" s="13">
        <f ca="1">MIN(IF(AND(MONTH(A59)=5,'ÖNYP kalkulátor'!$IU$6="igen"),(M59+N59)*12/(1+IF('ÖNYP kalkulátor'!$C$16="nem",0,VLOOKUP(YEAR(A59),'ÖNYP kalkulátor'!$E$15:$J$75,4)))*0.2,0),R59)</f>
        <v>0</v>
      </c>
      <c r="T59" s="4">
        <f ca="1">(1+VLOOKUP(YEAR(A59),'ÖNYP kalkulátor'!$E$15:$F$75,2,FALSE)+VLOOKUP(YEAR(A59),'ÖNYP kalkulátor'!$E$15:$I$75,5,FALSE))^(1/12)-1</f>
        <v>4.0741237836483535E-3</v>
      </c>
      <c r="U59" s="8">
        <f t="shared" ca="1" si="0"/>
        <v>13711.692174182788</v>
      </c>
      <c r="V59" s="14">
        <f t="shared" ca="1" si="1"/>
        <v>3379267.7975667515</v>
      </c>
      <c r="W59" s="8">
        <f t="shared" ca="1" si="2"/>
        <v>2931904.2715374208</v>
      </c>
      <c r="Y59" s="3"/>
    </row>
    <row r="60" spans="1:25" x14ac:dyDescent="0.2">
      <c r="A60" s="6">
        <f t="shared" ca="1" si="6"/>
        <v>47392</v>
      </c>
      <c r="B60" s="12">
        <f t="shared" ca="1" si="7"/>
        <v>10</v>
      </c>
      <c r="C60" s="7">
        <f ca="1">(YEAR(A60)-YEAR('ÖNYP kalkulátor'!$C$10))+(MONTH(CF!A60)-MONTH('ÖNYP kalkulátor'!$C$10)-1)/12</f>
        <v>48.333333333333336</v>
      </c>
      <c r="D60" s="4">
        <f ca="1">(1+VLOOKUP(YEAR(A60),'ÖNYP kalkulátor'!$E$15:$F$75,2,FALSE))^(1/12)-1</f>
        <v>2.4662697723036864E-3</v>
      </c>
      <c r="E60" s="4">
        <f t="shared" ca="1" si="13"/>
        <v>1.1554272137991843</v>
      </c>
      <c r="F60" s="8">
        <f t="shared" ca="1" si="14"/>
        <v>3379267.7975667515</v>
      </c>
      <c r="G60" s="8">
        <v>10000</v>
      </c>
      <c r="H60" s="8">
        <v>250000</v>
      </c>
      <c r="I60" s="8">
        <v>500000</v>
      </c>
      <c r="J60" s="8">
        <v>750000</v>
      </c>
      <c r="K60" s="8"/>
      <c r="L60" s="4">
        <f ca="1">+IF('ÖNYP kalkulátor'!$C$16="nem",0,
IF(MONTH(A60)=1,VLOOKUP(YEAR(A60),'ÖNYP kalkulátor'!$E$15:$J$75,4),0))</f>
        <v>0</v>
      </c>
      <c r="M60" s="8">
        <f t="shared" ca="1" si="10"/>
        <v>34778.222228999999</v>
      </c>
      <c r="N60" s="8">
        <f t="shared" ca="1" si="11"/>
        <v>11592.740743</v>
      </c>
      <c r="O60" s="8">
        <f t="shared" ca="1" si="3"/>
        <v>463709.62972000003</v>
      </c>
      <c r="P60" s="8">
        <f t="shared" ca="1" si="4"/>
        <v>437624.14823400002</v>
      </c>
      <c r="Q60" s="8">
        <f t="shared" ca="1" si="5"/>
        <v>44052.414823400031</v>
      </c>
      <c r="R60" s="13">
        <v>150000</v>
      </c>
      <c r="S60" s="13">
        <f ca="1">MIN(IF(AND(MONTH(A60)=5,'ÖNYP kalkulátor'!$IU$6="igen"),(M60+N60)*12/(1+IF('ÖNYP kalkulátor'!$C$16="nem",0,VLOOKUP(YEAR(A60),'ÖNYP kalkulátor'!$E$15:$J$75,4)))*0.2,0),R60)</f>
        <v>0</v>
      </c>
      <c r="T60" s="4">
        <f ca="1">(1+VLOOKUP(YEAR(A60),'ÖNYP kalkulátor'!$E$15:$F$75,2,FALSE)+VLOOKUP(YEAR(A60),'ÖNYP kalkulátor'!$E$15:$I$75,5,FALSE))^(1/12)-1</f>
        <v>4.0741237836483535E-3</v>
      </c>
      <c r="U60" s="8">
        <f t="shared" ca="1" si="0"/>
        <v>13947.030296342848</v>
      </c>
      <c r="V60" s="14">
        <f t="shared" ca="1" si="1"/>
        <v>3437267.2426864943</v>
      </c>
      <c r="W60" s="8">
        <f t="shared" ca="1" si="2"/>
        <v>2974888.5967332758</v>
      </c>
      <c r="Y60" s="3"/>
    </row>
    <row r="61" spans="1:25" x14ac:dyDescent="0.2">
      <c r="A61" s="6">
        <f t="shared" ca="1" si="6"/>
        <v>47423</v>
      </c>
      <c r="B61" s="12">
        <f t="shared" ca="1" si="7"/>
        <v>11</v>
      </c>
      <c r="C61" s="7">
        <f ca="1">(YEAR(A61)-YEAR('ÖNYP kalkulátor'!$C$10))+(MONTH(CF!A61)-MONTH('ÖNYP kalkulátor'!$C$10)-1)/12</f>
        <v>48.416666666666664</v>
      </c>
      <c r="D61" s="4">
        <f ca="1">(1+VLOOKUP(YEAR(A61),'ÖNYP kalkulátor'!$E$15:$F$75,2,FALSE))^(1/12)-1</f>
        <v>2.4662697723036864E-3</v>
      </c>
      <c r="E61" s="4">
        <f t="shared" ca="1" si="13"/>
        <v>1.1582768090106743</v>
      </c>
      <c r="F61" s="8">
        <f t="shared" ca="1" si="14"/>
        <v>3437267.2426864943</v>
      </c>
      <c r="G61" s="8">
        <v>10000</v>
      </c>
      <c r="H61" s="8">
        <v>250000</v>
      </c>
      <c r="I61" s="8">
        <v>500000</v>
      </c>
      <c r="J61" s="8">
        <v>750000</v>
      </c>
      <c r="K61" s="8"/>
      <c r="L61" s="4">
        <f ca="1">+IF('ÖNYP kalkulátor'!$C$16="nem",0,
IF(MONTH(A61)=1,VLOOKUP(YEAR(A61),'ÖNYP kalkulátor'!$E$15:$J$75,4),0))</f>
        <v>0</v>
      </c>
      <c r="M61" s="8">
        <f t="shared" ca="1" si="10"/>
        <v>34778.222228999999</v>
      </c>
      <c r="N61" s="8">
        <f t="shared" ca="1" si="11"/>
        <v>11592.740743</v>
      </c>
      <c r="O61" s="8">
        <f t="shared" ca="1" si="3"/>
        <v>510080.59269200003</v>
      </c>
      <c r="P61" s="8">
        <f t="shared" ca="1" si="4"/>
        <v>481978.98083816003</v>
      </c>
      <c r="Q61" s="8">
        <f t="shared" ca="1" si="5"/>
        <v>44354.832604160008</v>
      </c>
      <c r="R61" s="13">
        <v>150000</v>
      </c>
      <c r="S61" s="13">
        <f ca="1">MIN(IF(AND(MONTH(A61)=5,'ÖNYP kalkulátor'!$IU$6="igen"),(M61+N61)*12/(1+IF('ÖNYP kalkulátor'!$C$16="nem",0,VLOOKUP(YEAR(A61),'ÖNYP kalkulátor'!$E$15:$J$75,4)))*0.2,0),R61)</f>
        <v>0</v>
      </c>
      <c r="T61" s="4">
        <f ca="1">(1+VLOOKUP(YEAR(A61),'ÖNYP kalkulátor'!$E$15:$F$75,2,FALSE)+VLOOKUP(YEAR(A61),'ÖNYP kalkulátor'!$E$15:$I$75,5,FALSE))^(1/12)-1</f>
        <v>4.0741237836483535E-3</v>
      </c>
      <c r="U61" s="8">
        <f t="shared" ca="1" si="0"/>
        <v>14184.559302616794</v>
      </c>
      <c r="V61" s="14">
        <f t="shared" ca="1" si="1"/>
        <v>3495806.6345932712</v>
      </c>
      <c r="W61" s="8">
        <f t="shared" ca="1" si="2"/>
        <v>3018109.8398915236</v>
      </c>
      <c r="Y61" s="3"/>
    </row>
    <row r="62" spans="1:25" x14ac:dyDescent="0.2">
      <c r="A62" s="6">
        <f t="shared" ca="1" si="6"/>
        <v>47453</v>
      </c>
      <c r="B62" s="12">
        <f t="shared" ca="1" si="7"/>
        <v>12</v>
      </c>
      <c r="C62" s="7">
        <f ca="1">(YEAR(A62)-YEAR('ÖNYP kalkulátor'!$C$10))+(MONTH(CF!A62)-MONTH('ÖNYP kalkulátor'!$C$10)-1)/12</f>
        <v>48.5</v>
      </c>
      <c r="D62" s="4">
        <f ca="1">(1+VLOOKUP(YEAR(A62),'ÖNYP kalkulátor'!$E$15:$F$75,2,FALSE))^(1/12)-1</f>
        <v>2.4662697723036864E-3</v>
      </c>
      <c r="E62" s="4">
        <f t="shared" ca="1" si="13"/>
        <v>1.1611334320926978</v>
      </c>
      <c r="F62" s="8">
        <f t="shared" ca="1" si="14"/>
        <v>3495806.6345932712</v>
      </c>
      <c r="G62" s="8">
        <v>10000</v>
      </c>
      <c r="H62" s="8">
        <v>250000</v>
      </c>
      <c r="I62" s="8">
        <v>500000</v>
      </c>
      <c r="J62" s="8">
        <v>750000</v>
      </c>
      <c r="K62" s="8"/>
      <c r="L62" s="4">
        <f ca="1">+IF('ÖNYP kalkulátor'!$C$16="nem",0,
IF(MONTH(A62)=1,VLOOKUP(YEAR(A62),'ÖNYP kalkulátor'!$E$15:$J$75,4),0))</f>
        <v>0</v>
      </c>
      <c r="M62" s="8">
        <f t="shared" ca="1" si="10"/>
        <v>34778.222228999999</v>
      </c>
      <c r="N62" s="8">
        <f t="shared" ca="1" si="11"/>
        <v>11592.740743</v>
      </c>
      <c r="O62" s="8">
        <f t="shared" ca="1" si="3"/>
        <v>556451.55566399998</v>
      </c>
      <c r="P62" s="8">
        <f t="shared" ca="1" si="4"/>
        <v>527422.52455072</v>
      </c>
      <c r="Q62" s="8">
        <f t="shared" ca="1" si="5"/>
        <v>45443.543712559971</v>
      </c>
      <c r="R62" s="13">
        <v>150000</v>
      </c>
      <c r="S62" s="13">
        <f ca="1">MIN(IF(AND(MONTH(A62)=5,'ÖNYP kalkulátor'!$IU$6="igen"),(M62+N62)*12/(1+IF('ÖNYP kalkulátor'!$C$16="nem",0,VLOOKUP(YEAR(A62),'ÖNYP kalkulátor'!$E$15:$J$75,4)))*0.2,0),R62)</f>
        <v>0</v>
      </c>
      <c r="T62" s="4">
        <f ca="1">(1+VLOOKUP(YEAR(A62),'ÖNYP kalkulátor'!$E$15:$F$75,2,FALSE)+VLOOKUP(YEAR(A62),'ÖNYP kalkulátor'!$E$15:$I$75,5,FALSE))^(1/12)-1</f>
        <v>4.0741237836483535E-3</v>
      </c>
      <c r="U62" s="8">
        <f t="shared" ca="1" si="0"/>
        <v>14427.491575284759</v>
      </c>
      <c r="V62" s="14">
        <f t="shared" ca="1" si="1"/>
        <v>3555677.6698811161</v>
      </c>
      <c r="W62" s="8">
        <f t="shared" ca="1" si="2"/>
        <v>3062247.2591050607</v>
      </c>
      <c r="Y62" s="3"/>
    </row>
    <row r="63" spans="1:25" x14ac:dyDescent="0.2">
      <c r="A63" s="6">
        <f t="shared" ca="1" si="6"/>
        <v>47484</v>
      </c>
      <c r="B63" s="12">
        <f t="shared" ca="1" si="7"/>
        <v>1</v>
      </c>
      <c r="C63" s="7">
        <f ca="1">(YEAR(A63)-YEAR('ÖNYP kalkulátor'!$C$10))+(MONTH(CF!A63)-MONTH('ÖNYP kalkulátor'!$C$10)-1)/12</f>
        <v>48.583333333333336</v>
      </c>
      <c r="D63" s="4">
        <f ca="1">(1+VLOOKUP(YEAR(A63),'ÖNYP kalkulátor'!$E$15:$F$75,2,FALSE))^(1/12)-1</f>
        <v>2.4662697723036864E-3</v>
      </c>
      <c r="E63" s="4">
        <f t="shared" ca="1" si="13"/>
        <v>1.1639971003778793</v>
      </c>
      <c r="F63" s="8">
        <f t="shared" ca="1" si="14"/>
        <v>3555677.6698811161</v>
      </c>
      <c r="G63" s="8">
        <v>10000</v>
      </c>
      <c r="H63" s="8">
        <v>250000</v>
      </c>
      <c r="I63" s="8">
        <v>500000</v>
      </c>
      <c r="J63" s="8">
        <v>750000</v>
      </c>
      <c r="K63" s="8"/>
      <c r="L63" s="4">
        <f ca="1">+IF('ÖNYP kalkulátor'!$C$16="nem",0,
IF(MONTH(A63)=1,VLOOKUP(YEAR(A63),'ÖNYP kalkulátor'!$E$15:$J$75,4),0))</f>
        <v>0.03</v>
      </c>
      <c r="M63" s="8">
        <f t="shared" ca="1" si="10"/>
        <v>35821.568895869998</v>
      </c>
      <c r="N63" s="8">
        <f t="shared" ca="1" si="11"/>
        <v>11940.52296529</v>
      </c>
      <c r="O63" s="8">
        <f t="shared" ca="1" si="3"/>
        <v>47762.091861159999</v>
      </c>
      <c r="P63" s="8">
        <f t="shared" ca="1" si="4"/>
        <v>44496.366349490396</v>
      </c>
      <c r="Q63" s="8">
        <f t="shared" ca="1" si="5"/>
        <v>44496.366349490396</v>
      </c>
      <c r="R63" s="13">
        <v>150000</v>
      </c>
      <c r="S63" s="13">
        <f ca="1">MIN(IF(AND(MONTH(A63)=5,'ÖNYP kalkulátor'!$IU$6="igen"),(M63+N63)*12/(1+IF('ÖNYP kalkulátor'!$C$16="nem",0,VLOOKUP(YEAR(A63),'ÖNYP kalkulátor'!$E$15:$J$75,4)))*0.2,0),R63)</f>
        <v>0</v>
      </c>
      <c r="T63" s="4">
        <f ca="1">(1+VLOOKUP(YEAR(A63),'ÖNYP kalkulátor'!$E$15:$F$75,2,FALSE)+VLOOKUP(YEAR(A63),'ÖNYP kalkulátor'!$E$15:$I$75,5,FALSE))^(1/12)-1</f>
        <v>4.0741237836483535E-3</v>
      </c>
      <c r="U63" s="8">
        <f t="shared" ca="1" si="0"/>
        <v>14667.554666280403</v>
      </c>
      <c r="V63" s="14">
        <f t="shared" ca="1" si="1"/>
        <v>3614841.5908968868</v>
      </c>
      <c r="W63" s="8">
        <f t="shared" ca="1" si="2"/>
        <v>3105541.7489642943</v>
      </c>
    </row>
    <row r="64" spans="1:25" x14ac:dyDescent="0.2">
      <c r="A64" s="6">
        <f t="shared" ca="1" si="6"/>
        <v>47515</v>
      </c>
      <c r="B64" s="12">
        <f t="shared" ca="1" si="7"/>
        <v>2</v>
      </c>
      <c r="C64" s="7">
        <f ca="1">(YEAR(A64)-YEAR('ÖNYP kalkulátor'!$C$10))+(MONTH(CF!A64)-MONTH('ÖNYP kalkulátor'!$C$10)-1)/12</f>
        <v>48.666666666666664</v>
      </c>
      <c r="D64" s="4">
        <f ca="1">(1+VLOOKUP(YEAR(A64),'ÖNYP kalkulátor'!$E$15:$F$75,2,FALSE))^(1/12)-1</f>
        <v>2.4662697723036864E-3</v>
      </c>
      <c r="E64" s="4">
        <f t="shared" ca="1" si="13"/>
        <v>1.1668678312415903</v>
      </c>
      <c r="F64" s="8">
        <f t="shared" ca="1" si="14"/>
        <v>3614841.5908968868</v>
      </c>
      <c r="G64" s="8">
        <v>10000</v>
      </c>
      <c r="H64" s="8">
        <v>250000</v>
      </c>
      <c r="I64" s="8">
        <v>500000</v>
      </c>
      <c r="J64" s="8">
        <v>750000</v>
      </c>
      <c r="K64" s="8"/>
      <c r="L64" s="4">
        <f ca="1">+IF('ÖNYP kalkulátor'!$C$16="nem",0,
IF(MONTH(A64)=1,VLOOKUP(YEAR(A64),'ÖNYP kalkulátor'!$E$15:$J$75,4),0))</f>
        <v>0</v>
      </c>
      <c r="M64" s="8">
        <f t="shared" ca="1" si="10"/>
        <v>35821.568895869998</v>
      </c>
      <c r="N64" s="8">
        <f t="shared" ca="1" si="11"/>
        <v>11940.52296529</v>
      </c>
      <c r="O64" s="8">
        <f t="shared" ca="1" si="3"/>
        <v>95524.183722319998</v>
      </c>
      <c r="P64" s="8">
        <f t="shared" ca="1" si="4"/>
        <v>89392.732698980792</v>
      </c>
      <c r="Q64" s="8">
        <f t="shared" ca="1" si="5"/>
        <v>44896.366349490396</v>
      </c>
      <c r="R64" s="13">
        <v>150000</v>
      </c>
      <c r="S64" s="13">
        <f ca="1">MIN(IF(AND(MONTH(A64)=5,'ÖNYP kalkulátor'!$IU$6="igen"),(M64+N64)*12/(1+IF('ÖNYP kalkulátor'!$C$16="nem",0,VLOOKUP(YEAR(A64),'ÖNYP kalkulátor'!$E$15:$J$75,4)))*0.2,0),R64)</f>
        <v>0</v>
      </c>
      <c r="T64" s="4">
        <f ca="1">(1+VLOOKUP(YEAR(A64),'ÖNYP kalkulátor'!$E$15:$F$75,2,FALSE)+VLOOKUP(YEAR(A64),'ÖNYP kalkulátor'!$E$15:$I$75,5,FALSE))^(1/12)-1</f>
        <v>4.0741237836483535E-3</v>
      </c>
      <c r="U64" s="8">
        <f t="shared" ca="1" si="0"/>
        <v>14910.225453538105</v>
      </c>
      <c r="V64" s="14">
        <f t="shared" ca="1" si="1"/>
        <v>3674648.182699915</v>
      </c>
      <c r="W64" s="8">
        <f t="shared" ca="1" si="2"/>
        <v>3149155.4435860608</v>
      </c>
    </row>
    <row r="65" spans="1:23" x14ac:dyDescent="0.2">
      <c r="A65" s="6">
        <f t="shared" ca="1" si="6"/>
        <v>47543</v>
      </c>
      <c r="B65" s="12">
        <f t="shared" ca="1" si="7"/>
        <v>3</v>
      </c>
      <c r="C65" s="7">
        <f ca="1">(YEAR(A65)-YEAR('ÖNYP kalkulátor'!$C$10))+(MONTH(CF!A65)-MONTH('ÖNYP kalkulátor'!$C$10)-1)/12</f>
        <v>48.75</v>
      </c>
      <c r="D65" s="4">
        <f ca="1">(1+VLOOKUP(YEAR(A65),'ÖNYP kalkulátor'!$E$15:$F$75,2,FALSE))^(1/12)-1</f>
        <v>2.4662697723036864E-3</v>
      </c>
      <c r="E65" s="4">
        <f t="shared" ca="1" si="13"/>
        <v>1.1697456421020551</v>
      </c>
      <c r="F65" s="8">
        <f t="shared" ca="1" si="14"/>
        <v>3674648.182699915</v>
      </c>
      <c r="G65" s="8">
        <v>10000</v>
      </c>
      <c r="H65" s="8">
        <v>250000</v>
      </c>
      <c r="I65" s="8">
        <v>500000</v>
      </c>
      <c r="J65" s="8">
        <v>750000</v>
      </c>
      <c r="K65" s="8"/>
      <c r="L65" s="4">
        <f ca="1">+IF('ÖNYP kalkulátor'!$C$16="nem",0,
IF(MONTH(A65)=1,VLOOKUP(YEAR(A65),'ÖNYP kalkulátor'!$E$15:$J$75,4),0))</f>
        <v>0</v>
      </c>
      <c r="M65" s="8">
        <f t="shared" ca="1" si="10"/>
        <v>35821.568895869998</v>
      </c>
      <c r="N65" s="8">
        <f t="shared" ca="1" si="11"/>
        <v>11940.52296529</v>
      </c>
      <c r="O65" s="8">
        <f t="shared" ca="1" si="3"/>
        <v>143286.27558347999</v>
      </c>
      <c r="P65" s="8">
        <f t="shared" ca="1" si="4"/>
        <v>134289.09904847119</v>
      </c>
      <c r="Q65" s="8">
        <f t="shared" ca="1" si="5"/>
        <v>44896.366349490403</v>
      </c>
      <c r="R65" s="13">
        <v>150000</v>
      </c>
      <c r="S65" s="13">
        <f ca="1">MIN(IF(AND(MONTH(A65)=5,'ÖNYP kalkulátor'!$IU$6="igen"),(M65+N65)*12/(1+IF('ÖNYP kalkulátor'!$C$16="nem",0,VLOOKUP(YEAR(A65),'ÖNYP kalkulátor'!$E$15:$J$75,4)))*0.2,0),R65)</f>
        <v>0</v>
      </c>
      <c r="T65" s="4">
        <f ca="1">(1+VLOOKUP(YEAR(A65),'ÖNYP kalkulátor'!$E$15:$F$75,2,FALSE)+VLOOKUP(YEAR(A65),'ÖNYP kalkulátor'!$E$15:$I$75,5,FALSE))^(1/12)-1</f>
        <v>4.0741237836483535E-3</v>
      </c>
      <c r="U65" s="8">
        <f t="shared" ca="1" si="0"/>
        <v>15153.884911621772</v>
      </c>
      <c r="V65" s="14">
        <f t="shared" ca="1" si="1"/>
        <v>3734698.4339610273</v>
      </c>
      <c r="W65" s="8">
        <f t="shared" ca="1" si="2"/>
        <v>3192744.0458335057</v>
      </c>
    </row>
    <row r="66" spans="1:23" x14ac:dyDescent="0.2">
      <c r="A66" s="6">
        <f t="shared" ca="1" si="6"/>
        <v>47574</v>
      </c>
      <c r="B66" s="12">
        <f t="shared" ca="1" si="7"/>
        <v>4</v>
      </c>
      <c r="C66" s="7">
        <f ca="1">(YEAR(A66)-YEAR('ÖNYP kalkulátor'!$C$10))+(MONTH(CF!A66)-MONTH('ÖNYP kalkulátor'!$C$10)-1)/12</f>
        <v>48.833333333333336</v>
      </c>
      <c r="D66" s="4">
        <f ca="1">(1+VLOOKUP(YEAR(A66),'ÖNYP kalkulátor'!$E$15:$F$75,2,FALSE))^(1/12)-1</f>
        <v>2.4662697723036864E-3</v>
      </c>
      <c r="E66" s="4">
        <f t="shared" ca="1" si="13"/>
        <v>1.1726305504204553</v>
      </c>
      <c r="F66" s="8">
        <f t="shared" ca="1" si="14"/>
        <v>3734698.4339610273</v>
      </c>
      <c r="G66" s="8">
        <v>10000</v>
      </c>
      <c r="H66" s="8">
        <v>250000</v>
      </c>
      <c r="I66" s="8">
        <v>500000</v>
      </c>
      <c r="J66" s="8">
        <v>750000</v>
      </c>
      <c r="K66" s="8"/>
      <c r="L66" s="4">
        <f ca="1">+IF('ÖNYP kalkulátor'!$C$16="nem",0,
IF(MONTH(A66)=1,VLOOKUP(YEAR(A66),'ÖNYP kalkulátor'!$E$15:$J$75,4),0))</f>
        <v>0</v>
      </c>
      <c r="M66" s="8">
        <f t="shared" ca="1" si="10"/>
        <v>35821.568895869998</v>
      </c>
      <c r="N66" s="8">
        <f t="shared" ca="1" si="11"/>
        <v>11940.52296529</v>
      </c>
      <c r="O66" s="8">
        <f t="shared" ca="1" si="3"/>
        <v>191048.36744464</v>
      </c>
      <c r="P66" s="8">
        <f t="shared" ca="1" si="4"/>
        <v>179185.46539796158</v>
      </c>
      <c r="Q66" s="8">
        <f t="shared" ca="1" si="5"/>
        <v>44896.366349490389</v>
      </c>
      <c r="R66" s="13">
        <v>150000</v>
      </c>
      <c r="S66" s="13">
        <f ca="1">MIN(IF(AND(MONTH(A66)=5,'ÖNYP kalkulátor'!$IU$6="igen"),(M66+N66)*12/(1+IF('ÖNYP kalkulátor'!$C$16="nem",0,VLOOKUP(YEAR(A66),'ÖNYP kalkulátor'!$E$15:$J$75,4)))*0.2,0),R66)</f>
        <v>0</v>
      </c>
      <c r="T66" s="4">
        <f ca="1">(1+VLOOKUP(YEAR(A66),'ÖNYP kalkulátor'!$E$15:$F$75,2,FALSE)+VLOOKUP(YEAR(A66),'ÖNYP kalkulátor'!$E$15:$I$75,5,FALSE))^(1/12)-1</f>
        <v>4.0741237836483535E-3</v>
      </c>
      <c r="U66" s="8">
        <f t="shared" ref="U66:U129" ca="1" si="15">+(F66+Q66+S66)*T66</f>
        <v>15398.537068498728</v>
      </c>
      <c r="V66" s="14">
        <f t="shared" ref="V66:V129" ca="1" si="16">+F66+Q66+S66+U66</f>
        <v>3794993.3373790164</v>
      </c>
      <c r="W66" s="8">
        <f t="shared" ref="W66:W129" ca="1" si="17">+V66/E66</f>
        <v>3236307.7492892318</v>
      </c>
    </row>
    <row r="67" spans="1:23" x14ac:dyDescent="0.2">
      <c r="A67" s="6">
        <f t="shared" ca="1" si="6"/>
        <v>47604</v>
      </c>
      <c r="B67" s="12">
        <f t="shared" ca="1" si="7"/>
        <v>5</v>
      </c>
      <c r="C67" s="7">
        <f ca="1">(YEAR(A67)-YEAR('ÖNYP kalkulátor'!$C$10))+(MONTH(CF!A67)-MONTH('ÖNYP kalkulátor'!$C$10)-1)/12</f>
        <v>48.916666666666664</v>
      </c>
      <c r="D67" s="4">
        <f ca="1">(1+VLOOKUP(YEAR(A67),'ÖNYP kalkulátor'!$E$15:$F$75,2,FALSE))^(1/12)-1</f>
        <v>2.4662697723036864E-3</v>
      </c>
      <c r="E67" s="4">
        <f t="shared" ca="1" si="13"/>
        <v>1.1755225737010371</v>
      </c>
      <c r="F67" s="8">
        <f t="shared" ca="1" si="14"/>
        <v>3794993.3373790164</v>
      </c>
      <c r="G67" s="8">
        <v>10000</v>
      </c>
      <c r="H67" s="8">
        <v>250000</v>
      </c>
      <c r="I67" s="8">
        <v>500000</v>
      </c>
      <c r="J67" s="8">
        <v>750000</v>
      </c>
      <c r="K67" s="8"/>
      <c r="L67" s="4">
        <f ca="1">+IF('ÖNYP kalkulátor'!$C$16="nem",0,
IF(MONTH(A67)=1,VLOOKUP(YEAR(A67),'ÖNYP kalkulátor'!$E$15:$J$75,4),0))</f>
        <v>0</v>
      </c>
      <c r="M67" s="8">
        <f t="shared" ca="1" si="10"/>
        <v>35821.568895869998</v>
      </c>
      <c r="N67" s="8">
        <f t="shared" ca="1" si="11"/>
        <v>11940.52296529</v>
      </c>
      <c r="O67" s="8">
        <f t="shared" ref="O67:O130" ca="1" si="18">IF(YEAR(A67)=YEAR(A66),O66+M67+N67,M67+N67)</f>
        <v>238810.4593058</v>
      </c>
      <c r="P67" s="8">
        <f t="shared" ref="P67:P130" ca="1" si="19">IF(O67&lt;G67,O67*$G$1,0)
+IF(AND(O67&lt;H67,O67&gt;=G67),G67*$G$1+(O67-G67)*$H$1,0)
+IF(AND(O67&lt;I67,O67&gt;=H67),G67*$G$1+(H67-G67)*$H$1+(O67-H67)*$I$1,0)
+IF(AND(O67&lt;J67,O67&gt;=I67),G67*$G$1+(H67-G67)*$H$1+(I67-H67)*$I$1+(O67-I67)*$J$1,0)
+IF(AND(O67&gt;=J67),G67*$G$1+(H67-G67)*$H$1+(I67-H67)*$I$1+(J67-I67)*$J$1+(O67-J67)*$K$1,0)</f>
        <v>224081.831747452</v>
      </c>
      <c r="Q67" s="8">
        <f t="shared" ref="Q67:Q130" ca="1" si="20">IF(YEAR(A67)=YEAR(A66),P67-P66,P67)</f>
        <v>44896.366349490418</v>
      </c>
      <c r="R67" s="13">
        <v>150000</v>
      </c>
      <c r="S67" s="13">
        <f ca="1">MIN(IF(AND(MONTH(A67)=5,'ÖNYP kalkulátor'!$IU$6="igen"),(M67+N67)*12/(1+IF('ÖNYP kalkulátor'!$C$16="nem",0,VLOOKUP(YEAR(A67),'ÖNYP kalkulátor'!$E$15:$J$75,4)))*0.2,0),R67)</f>
        <v>111290.31113280001</v>
      </c>
      <c r="T67" s="4">
        <f ca="1">(1+VLOOKUP(YEAR(A67),'ÖNYP kalkulátor'!$E$15:$F$75,2,FALSE)+VLOOKUP(YEAR(A67),'ÖNYP kalkulátor'!$E$15:$I$75,5,FALSE))^(1/12)-1</f>
        <v>4.0741237836483535E-3</v>
      </c>
      <c r="U67" s="8">
        <f t="shared" ca="1" si="15"/>
        <v>16097.596472022504</v>
      </c>
      <c r="V67" s="14">
        <f t="shared" ca="1" si="16"/>
        <v>3967277.6113333292</v>
      </c>
      <c r="W67" s="8">
        <f t="shared" ca="1" si="17"/>
        <v>3374905.5101874215</v>
      </c>
    </row>
    <row r="68" spans="1:23" x14ac:dyDescent="0.2">
      <c r="A68" s="6">
        <f t="shared" ref="A68:A131" ca="1" si="21">+DATE(YEAR(A67),MONTH(A67)+1,1)</f>
        <v>47635</v>
      </c>
      <c r="B68" s="12">
        <f t="shared" ref="B68:B131" ca="1" si="22">+IF(YEAR(A68)=YEAR(A67),B67+1,1)</f>
        <v>6</v>
      </c>
      <c r="C68" s="7">
        <f ca="1">(YEAR(A68)-YEAR('ÖNYP kalkulátor'!$C$10))+(MONTH(CF!A68)-MONTH('ÖNYP kalkulátor'!$C$10)-1)/12</f>
        <v>49</v>
      </c>
      <c r="D68" s="4">
        <f ca="1">(1+VLOOKUP(YEAR(A68),'ÖNYP kalkulátor'!$E$15:$F$75,2,FALSE))^(1/12)-1</f>
        <v>2.4662697723036864E-3</v>
      </c>
      <c r="E68" s="4">
        <f t="shared" ca="1" si="13"/>
        <v>1.1784217294912165</v>
      </c>
      <c r="F68" s="8">
        <f t="shared" ca="1" si="14"/>
        <v>3967277.6113333292</v>
      </c>
      <c r="G68" s="8">
        <v>10000</v>
      </c>
      <c r="H68" s="8">
        <v>250000</v>
      </c>
      <c r="I68" s="8">
        <v>500000</v>
      </c>
      <c r="J68" s="8">
        <v>750000</v>
      </c>
      <c r="K68" s="8"/>
      <c r="L68" s="4">
        <f ca="1">+IF('ÖNYP kalkulátor'!$C$16="nem",0,
IF(MONTH(A68)=1,VLOOKUP(YEAR(A68),'ÖNYP kalkulátor'!$E$15:$J$75,4),0))</f>
        <v>0</v>
      </c>
      <c r="M68" s="8">
        <f t="shared" ref="M68:M131" ca="1" si="23">M67*(1+L68)</f>
        <v>35821.568895869998</v>
      </c>
      <c r="N68" s="8">
        <f t="shared" ref="N68:N131" ca="1" si="24">N67*(1+L68)</f>
        <v>11940.52296529</v>
      </c>
      <c r="O68" s="8">
        <f t="shared" ca="1" si="18"/>
        <v>286572.55116695998</v>
      </c>
      <c r="P68" s="8">
        <f t="shared" ca="1" si="19"/>
        <v>269343.92360861198</v>
      </c>
      <c r="Q68" s="8">
        <f t="shared" ca="1" si="20"/>
        <v>45262.091861159977</v>
      </c>
      <c r="R68" s="13">
        <v>150000</v>
      </c>
      <c r="S68" s="13">
        <f ca="1">MIN(IF(AND(MONTH(A68)=5,'ÖNYP kalkulátor'!$IU$6="igen"),(M68+N68)*12/(1+IF('ÖNYP kalkulátor'!$C$16="nem",0,VLOOKUP(YEAR(A68),'ÖNYP kalkulátor'!$E$15:$J$75,4)))*0.2,0),R68)</f>
        <v>0</v>
      </c>
      <c r="T68" s="4">
        <f ca="1">(1+VLOOKUP(YEAR(A68),'ÖNYP kalkulátor'!$E$15:$F$75,2,FALSE)+VLOOKUP(YEAR(A68),'ÖNYP kalkulátor'!$E$15:$I$75,5,FALSE))^(1/12)-1</f>
        <v>4.0741237836483535E-3</v>
      </c>
      <c r="U68" s="8">
        <f t="shared" ca="1" si="15"/>
        <v>16347.583437617974</v>
      </c>
      <c r="V68" s="14">
        <f t="shared" ca="1" si="16"/>
        <v>4028887.2866321071</v>
      </c>
      <c r="W68" s="8">
        <f t="shared" ca="1" si="17"/>
        <v>3418884.0767316627</v>
      </c>
    </row>
    <row r="69" spans="1:23" x14ac:dyDescent="0.2">
      <c r="A69" s="6">
        <f t="shared" ca="1" si="21"/>
        <v>47665</v>
      </c>
      <c r="B69" s="12">
        <f t="shared" ca="1" si="22"/>
        <v>7</v>
      </c>
      <c r="C69" s="7">
        <f ca="1">(YEAR(A69)-YEAR('ÖNYP kalkulátor'!$C$10))+(MONTH(CF!A69)-MONTH('ÖNYP kalkulátor'!$C$10)-1)/12</f>
        <v>49.083333333333336</v>
      </c>
      <c r="D69" s="4">
        <f ca="1">(1+VLOOKUP(YEAR(A69),'ÖNYP kalkulátor'!$E$15:$F$75,2,FALSE))^(1/12)-1</f>
        <v>2.4662697723036864E-3</v>
      </c>
      <c r="E69" s="4">
        <f t="shared" ca="1" si="13"/>
        <v>1.1813280353816864</v>
      </c>
      <c r="F69" s="8">
        <f t="shared" ca="1" si="14"/>
        <v>4028887.2866321071</v>
      </c>
      <c r="G69" s="8">
        <v>10000</v>
      </c>
      <c r="H69" s="8">
        <v>250000</v>
      </c>
      <c r="I69" s="8">
        <v>500000</v>
      </c>
      <c r="J69" s="8">
        <v>750000</v>
      </c>
      <c r="K69" s="8"/>
      <c r="L69" s="4">
        <f ca="1">+IF('ÖNYP kalkulátor'!$C$16="nem",0,
IF(MONTH(A69)=1,VLOOKUP(YEAR(A69),'ÖNYP kalkulátor'!$E$15:$J$75,4),0))</f>
        <v>0</v>
      </c>
      <c r="M69" s="8">
        <f t="shared" ca="1" si="23"/>
        <v>35821.568895869998</v>
      </c>
      <c r="N69" s="8">
        <f t="shared" ca="1" si="24"/>
        <v>11940.52296529</v>
      </c>
      <c r="O69" s="8">
        <f t="shared" ca="1" si="18"/>
        <v>334334.64302811999</v>
      </c>
      <c r="P69" s="8">
        <f t="shared" ca="1" si="19"/>
        <v>314717.91087671398</v>
      </c>
      <c r="Q69" s="8">
        <f t="shared" ca="1" si="20"/>
        <v>45373.987268102006</v>
      </c>
      <c r="R69" s="13">
        <v>150000</v>
      </c>
      <c r="S69" s="13">
        <f ca="1">MIN(IF(AND(MONTH(A69)=5,'ÖNYP kalkulátor'!$IU$6="igen"),(M69+N69)*12/(1+IF('ÖNYP kalkulátor'!$C$16="nem",0,VLOOKUP(YEAR(A69),'ÖNYP kalkulátor'!$E$15:$J$75,4)))*0.2,0),R69)</f>
        <v>0</v>
      </c>
      <c r="T69" s="4">
        <f ca="1">(1+VLOOKUP(YEAR(A69),'ÖNYP kalkulátor'!$E$15:$F$75,2,FALSE)+VLOOKUP(YEAR(A69),'ÖNYP kalkulátor'!$E$15:$I$75,5,FALSE))^(1/12)-1</f>
        <v>4.0741237836483535E-3</v>
      </c>
      <c r="U69" s="8">
        <f t="shared" ca="1" si="15"/>
        <v>16599.044756794279</v>
      </c>
      <c r="V69" s="14">
        <f t="shared" ca="1" si="16"/>
        <v>4090860.3186570033</v>
      </c>
      <c r="W69" s="8">
        <f t="shared" ca="1" si="17"/>
        <v>3462933.4072607942</v>
      </c>
    </row>
    <row r="70" spans="1:23" x14ac:dyDescent="0.2">
      <c r="A70" s="6">
        <f t="shared" ca="1" si="21"/>
        <v>47696</v>
      </c>
      <c r="B70" s="12">
        <f t="shared" ca="1" si="22"/>
        <v>8</v>
      </c>
      <c r="C70" s="7">
        <f ca="1">(YEAR(A70)-YEAR('ÖNYP kalkulátor'!$C$10))+(MONTH(CF!A70)-MONTH('ÖNYP kalkulátor'!$C$10)-1)/12</f>
        <v>49.166666666666664</v>
      </c>
      <c r="D70" s="4">
        <f ca="1">(1+VLOOKUP(YEAR(A70),'ÖNYP kalkulátor'!$E$15:$F$75,2,FALSE))^(1/12)-1</f>
        <v>2.4662697723036864E-3</v>
      </c>
      <c r="E70" s="4">
        <f t="shared" ca="1" si="13"/>
        <v>1.1842415090065233</v>
      </c>
      <c r="F70" s="8">
        <f t="shared" ca="1" si="14"/>
        <v>4090860.3186570033</v>
      </c>
      <c r="G70" s="8">
        <v>10000</v>
      </c>
      <c r="H70" s="8">
        <v>250000</v>
      </c>
      <c r="I70" s="8">
        <v>500000</v>
      </c>
      <c r="J70" s="8">
        <v>750000</v>
      </c>
      <c r="K70" s="8"/>
      <c r="L70" s="4">
        <f ca="1">+IF('ÖNYP kalkulátor'!$C$16="nem",0,
IF(MONTH(A70)=1,VLOOKUP(YEAR(A70),'ÖNYP kalkulátor'!$E$15:$J$75,4),0))</f>
        <v>0</v>
      </c>
      <c r="M70" s="8">
        <f t="shared" ca="1" si="23"/>
        <v>35821.568895869998</v>
      </c>
      <c r="N70" s="8">
        <f t="shared" ca="1" si="24"/>
        <v>11940.52296529</v>
      </c>
      <c r="O70" s="8">
        <f t="shared" ca="1" si="18"/>
        <v>382096.73488927999</v>
      </c>
      <c r="P70" s="8">
        <f t="shared" ca="1" si="19"/>
        <v>360091.89814481599</v>
      </c>
      <c r="Q70" s="8">
        <f t="shared" ca="1" si="20"/>
        <v>45373.987268102006</v>
      </c>
      <c r="R70" s="13">
        <v>150000</v>
      </c>
      <c r="S70" s="13">
        <f ca="1">MIN(IF(AND(MONTH(A70)=5,'ÖNYP kalkulátor'!$IU$6="igen"),(M70+N70)*12/(1+IF('ÖNYP kalkulátor'!$C$16="nem",0,VLOOKUP(YEAR(A70),'ÖNYP kalkulátor'!$E$15:$J$75,4)))*0.2,0),R70)</f>
        <v>0</v>
      </c>
      <c r="T70" s="4">
        <f ca="1">(1+VLOOKUP(YEAR(A70),'ÖNYP kalkulátor'!$E$15:$F$75,2,FALSE)+VLOOKUP(YEAR(A70),'ÖNYP kalkulátor'!$E$15:$I$75,5,FALSE))^(1/12)-1</f>
        <v>4.0741237836483535E-3</v>
      </c>
      <c r="U70" s="8">
        <f t="shared" ca="1" si="15"/>
        <v>16851.53056051171</v>
      </c>
      <c r="V70" s="14">
        <f t="shared" ca="1" si="16"/>
        <v>4153085.8364856169</v>
      </c>
      <c r="W70" s="8">
        <f t="shared" ca="1" si="17"/>
        <v>3506958.5088008768</v>
      </c>
    </row>
    <row r="71" spans="1:23" x14ac:dyDescent="0.2">
      <c r="A71" s="6">
        <f t="shared" ca="1" si="21"/>
        <v>47727</v>
      </c>
      <c r="B71" s="12">
        <f t="shared" ca="1" si="22"/>
        <v>9</v>
      </c>
      <c r="C71" s="7">
        <f ca="1">(YEAR(A71)-YEAR('ÖNYP kalkulátor'!$C$10))+(MONTH(CF!A71)-MONTH('ÖNYP kalkulátor'!$C$10)-1)/12</f>
        <v>49.25</v>
      </c>
      <c r="D71" s="4">
        <f ca="1">(1+VLOOKUP(YEAR(A71),'ÖNYP kalkulátor'!$E$15:$F$75,2,FALSE))^(1/12)-1</f>
        <v>2.4662697723036864E-3</v>
      </c>
      <c r="E71" s="4">
        <f t="shared" ca="1" si="13"/>
        <v>1.1871621680432933</v>
      </c>
      <c r="F71" s="8">
        <f t="shared" ca="1" si="14"/>
        <v>4153085.8364856169</v>
      </c>
      <c r="G71" s="8">
        <v>10000</v>
      </c>
      <c r="H71" s="8">
        <v>250000</v>
      </c>
      <c r="I71" s="8">
        <v>500000</v>
      </c>
      <c r="J71" s="8">
        <v>750000</v>
      </c>
      <c r="K71" s="8"/>
      <c r="L71" s="4">
        <f ca="1">+IF('ÖNYP kalkulátor'!$C$16="nem",0,
IF(MONTH(A71)=1,VLOOKUP(YEAR(A71),'ÖNYP kalkulátor'!$E$15:$J$75,4),0))</f>
        <v>0</v>
      </c>
      <c r="M71" s="8">
        <f t="shared" ca="1" si="23"/>
        <v>35821.568895869998</v>
      </c>
      <c r="N71" s="8">
        <f t="shared" ca="1" si="24"/>
        <v>11940.52296529</v>
      </c>
      <c r="O71" s="8">
        <f t="shared" ca="1" si="18"/>
        <v>429858.82675044</v>
      </c>
      <c r="P71" s="8">
        <f t="shared" ca="1" si="19"/>
        <v>405465.885412918</v>
      </c>
      <c r="Q71" s="8">
        <f t="shared" ca="1" si="20"/>
        <v>45373.987268102006</v>
      </c>
      <c r="R71" s="13">
        <v>150000</v>
      </c>
      <c r="S71" s="13">
        <f ca="1">MIN(IF(AND(MONTH(A71)=5,'ÖNYP kalkulátor'!$IU$6="igen"),(M71+N71)*12/(1+IF('ÖNYP kalkulátor'!$C$16="nem",0,VLOOKUP(YEAR(A71),'ÖNYP kalkulátor'!$E$15:$J$75,4)))*0.2,0),R71)</f>
        <v>0</v>
      </c>
      <c r="T71" s="4">
        <f ca="1">(1+VLOOKUP(YEAR(A71),'ÖNYP kalkulátor'!$E$15:$F$75,2,FALSE)+VLOOKUP(YEAR(A71),'ÖNYP kalkulátor'!$E$15:$I$75,5,FALSE))^(1/12)-1</f>
        <v>4.0741237836483535E-3</v>
      </c>
      <c r="U71" s="8">
        <f t="shared" ca="1" si="15"/>
        <v>17105.0450226471</v>
      </c>
      <c r="V71" s="14">
        <f t="shared" ca="1" si="16"/>
        <v>4215564.8687763661</v>
      </c>
      <c r="W71" s="8">
        <f t="shared" ca="1" si="17"/>
        <v>3550959.5759141757</v>
      </c>
    </row>
    <row r="72" spans="1:23" x14ac:dyDescent="0.2">
      <c r="A72" s="6">
        <f t="shared" ca="1" si="21"/>
        <v>47757</v>
      </c>
      <c r="B72" s="12">
        <f t="shared" ca="1" si="22"/>
        <v>10</v>
      </c>
      <c r="C72" s="7">
        <f ca="1">(YEAR(A72)-YEAR('ÖNYP kalkulátor'!$C$10))+(MONTH(CF!A72)-MONTH('ÖNYP kalkulátor'!$C$10)-1)/12</f>
        <v>49.333333333333336</v>
      </c>
      <c r="D72" s="4">
        <f ca="1">(1+VLOOKUP(YEAR(A72),'ÖNYP kalkulátor'!$E$15:$F$75,2,FALSE))^(1/12)-1</f>
        <v>2.4662697723036864E-3</v>
      </c>
      <c r="E72" s="4">
        <f t="shared" ca="1" si="13"/>
        <v>1.190090030213161</v>
      </c>
      <c r="F72" s="8">
        <f t="shared" ca="1" si="14"/>
        <v>4215564.8687763661</v>
      </c>
      <c r="G72" s="8">
        <v>10000</v>
      </c>
      <c r="H72" s="8">
        <v>250000</v>
      </c>
      <c r="I72" s="8">
        <v>500000</v>
      </c>
      <c r="J72" s="8">
        <v>750000</v>
      </c>
      <c r="K72" s="8"/>
      <c r="L72" s="4">
        <f ca="1">+IF('ÖNYP kalkulátor'!$C$16="nem",0,
IF(MONTH(A72)=1,VLOOKUP(YEAR(A72),'ÖNYP kalkulátor'!$E$15:$J$75,4),0))</f>
        <v>0</v>
      </c>
      <c r="M72" s="8">
        <f t="shared" ca="1" si="23"/>
        <v>35821.568895869998</v>
      </c>
      <c r="N72" s="8">
        <f t="shared" ca="1" si="24"/>
        <v>11940.52296529</v>
      </c>
      <c r="O72" s="8">
        <f t="shared" ca="1" si="18"/>
        <v>477620.91861160001</v>
      </c>
      <c r="P72" s="8">
        <f t="shared" ca="1" si="19"/>
        <v>450839.87268102</v>
      </c>
      <c r="Q72" s="8">
        <f t="shared" ca="1" si="20"/>
        <v>45373.987268102006</v>
      </c>
      <c r="R72" s="13">
        <v>150000</v>
      </c>
      <c r="S72" s="13">
        <f ca="1">MIN(IF(AND(MONTH(A72)=5,'ÖNYP kalkulátor'!$IU$6="igen"),(M72+N72)*12/(1+IF('ÖNYP kalkulátor'!$C$16="nem",0,VLOOKUP(YEAR(A72),'ÖNYP kalkulátor'!$E$15:$J$75,4)))*0.2,0),R72)</f>
        <v>0</v>
      </c>
      <c r="T72" s="4">
        <f ca="1">(1+VLOOKUP(YEAR(A72),'ÖNYP kalkulátor'!$E$15:$F$75,2,FALSE)+VLOOKUP(YEAR(A72),'ÖNYP kalkulátor'!$E$15:$I$75,5,FALSE))^(1/12)-1</f>
        <v>4.0741237836483535E-3</v>
      </c>
      <c r="U72" s="8">
        <f t="shared" ca="1" si="15"/>
        <v>17359.592334082176</v>
      </c>
      <c r="V72" s="14">
        <f t="shared" ca="1" si="16"/>
        <v>4278298.4483785508</v>
      </c>
      <c r="W72" s="8">
        <f t="shared" ca="1" si="17"/>
        <v>3594936.8029007441</v>
      </c>
    </row>
    <row r="73" spans="1:23" x14ac:dyDescent="0.2">
      <c r="A73" s="6">
        <f t="shared" ca="1" si="21"/>
        <v>47788</v>
      </c>
      <c r="B73" s="12">
        <f t="shared" ca="1" si="22"/>
        <v>11</v>
      </c>
      <c r="C73" s="7">
        <f ca="1">(YEAR(A73)-YEAR('ÖNYP kalkulátor'!$C$10))+(MONTH(CF!A73)-MONTH('ÖNYP kalkulátor'!$C$10)-1)/12</f>
        <v>49.416666666666664</v>
      </c>
      <c r="D73" s="4">
        <f ca="1">(1+VLOOKUP(YEAR(A73),'ÖNYP kalkulátor'!$E$15:$F$75,2,FALSE))^(1/12)-1</f>
        <v>2.4662697723036864E-3</v>
      </c>
      <c r="E73" s="4">
        <f t="shared" ca="1" si="13"/>
        <v>1.1930251132809957</v>
      </c>
      <c r="F73" s="8">
        <f t="shared" ca="1" si="14"/>
        <v>4278298.4483785508</v>
      </c>
      <c r="G73" s="8">
        <v>10000</v>
      </c>
      <c r="H73" s="8">
        <v>250000</v>
      </c>
      <c r="I73" s="8">
        <v>500000</v>
      </c>
      <c r="J73" s="8">
        <v>750000</v>
      </c>
      <c r="K73" s="8"/>
      <c r="L73" s="4">
        <f ca="1">+IF('ÖNYP kalkulátor'!$C$16="nem",0,
IF(MONTH(A73)=1,VLOOKUP(YEAR(A73),'ÖNYP kalkulátor'!$E$15:$J$75,4),0))</f>
        <v>0</v>
      </c>
      <c r="M73" s="8">
        <f t="shared" ca="1" si="23"/>
        <v>35821.568895869998</v>
      </c>
      <c r="N73" s="8">
        <f t="shared" ca="1" si="24"/>
        <v>11940.52296529</v>
      </c>
      <c r="O73" s="8">
        <f t="shared" ca="1" si="18"/>
        <v>525383.01047275995</v>
      </c>
      <c r="P73" s="8">
        <f t="shared" ca="1" si="19"/>
        <v>496975.35026330478</v>
      </c>
      <c r="Q73" s="8">
        <f t="shared" ca="1" si="20"/>
        <v>46135.477582284773</v>
      </c>
      <c r="R73" s="13">
        <v>150000</v>
      </c>
      <c r="S73" s="13">
        <f ca="1">MIN(IF(AND(MONTH(A73)=5,'ÖNYP kalkulátor'!$IU$6="igen"),(M73+N73)*12/(1+IF('ÖNYP kalkulátor'!$C$16="nem",0,VLOOKUP(YEAR(A73),'ÖNYP kalkulátor'!$E$15:$J$75,4)))*0.2,0),R73)</f>
        <v>0</v>
      </c>
      <c r="T73" s="4">
        <f ca="1">(1+VLOOKUP(YEAR(A73),'ÖNYP kalkulátor'!$E$15:$F$75,2,FALSE)+VLOOKUP(YEAR(A73),'ÖNYP kalkulátor'!$E$15:$I$75,5,FALSE))^(1/12)-1</f>
        <v>4.0741237836483535E-3</v>
      </c>
      <c r="U73" s="8">
        <f t="shared" ca="1" si="15"/>
        <v>17618.279108572864</v>
      </c>
      <c r="V73" s="14">
        <f t="shared" ca="1" si="16"/>
        <v>4342052.2050694088</v>
      </c>
      <c r="W73" s="8">
        <f t="shared" ca="1" si="17"/>
        <v>3639531.2694869619</v>
      </c>
    </row>
    <row r="74" spans="1:23" x14ac:dyDescent="0.2">
      <c r="A74" s="6">
        <f t="shared" ca="1" si="21"/>
        <v>47818</v>
      </c>
      <c r="B74" s="12">
        <f t="shared" ca="1" si="22"/>
        <v>12</v>
      </c>
      <c r="C74" s="7">
        <f ca="1">(YEAR(A74)-YEAR('ÖNYP kalkulátor'!$C$10))+(MONTH(CF!A74)-MONTH('ÖNYP kalkulátor'!$C$10)-1)/12</f>
        <v>49.5</v>
      </c>
      <c r="D74" s="4">
        <f ca="1">(1+VLOOKUP(YEAR(A74),'ÖNYP kalkulátor'!$E$15:$F$75,2,FALSE))^(1/12)-1</f>
        <v>2.4662697723036864E-3</v>
      </c>
      <c r="E74" s="4">
        <f t="shared" ca="1" si="13"/>
        <v>1.1959674350554799</v>
      </c>
      <c r="F74" s="8">
        <f t="shared" ca="1" si="14"/>
        <v>4342052.2050694088</v>
      </c>
      <c r="G74" s="8">
        <v>10000</v>
      </c>
      <c r="H74" s="8">
        <v>250000</v>
      </c>
      <c r="I74" s="8">
        <v>500000</v>
      </c>
      <c r="J74" s="8">
        <v>750000</v>
      </c>
      <c r="K74" s="8"/>
      <c r="L74" s="4">
        <f ca="1">+IF('ÖNYP kalkulátor'!$C$16="nem",0,
IF(MONTH(A74)=1,VLOOKUP(YEAR(A74),'ÖNYP kalkulátor'!$E$15:$J$75,4),0))</f>
        <v>0</v>
      </c>
      <c r="M74" s="8">
        <f t="shared" ca="1" si="23"/>
        <v>35821.568895869998</v>
      </c>
      <c r="N74" s="8">
        <f t="shared" ca="1" si="24"/>
        <v>11940.52296529</v>
      </c>
      <c r="O74" s="8">
        <f t="shared" ca="1" si="18"/>
        <v>573145.10233391996</v>
      </c>
      <c r="P74" s="8">
        <f t="shared" ca="1" si="19"/>
        <v>543782.20028724161</v>
      </c>
      <c r="Q74" s="8">
        <f t="shared" ca="1" si="20"/>
        <v>46806.85002393683</v>
      </c>
      <c r="R74" s="13">
        <v>150000</v>
      </c>
      <c r="S74" s="13">
        <f ca="1">MIN(IF(AND(MONTH(A74)=5,'ÖNYP kalkulátor'!$IU$6="igen"),(M74+N74)*12/(1+IF('ÖNYP kalkulátor'!$C$16="nem",0,VLOOKUP(YEAR(A74),'ÖNYP kalkulátor'!$E$15:$J$75,4)))*0.2,0),R74)</f>
        <v>0</v>
      </c>
      <c r="T74" s="4">
        <f ca="1">(1+VLOOKUP(YEAR(A74),'ÖNYP kalkulátor'!$E$15:$F$75,2,FALSE)+VLOOKUP(YEAR(A74),'ÖNYP kalkulátor'!$E$15:$I$75,5,FALSE))^(1/12)-1</f>
        <v>4.0741237836483535E-3</v>
      </c>
      <c r="U74" s="8">
        <f t="shared" ca="1" si="15"/>
        <v>17880.755059436236</v>
      </c>
      <c r="V74" s="14">
        <f t="shared" ca="1" si="16"/>
        <v>4406739.8101527812</v>
      </c>
      <c r="W74" s="8">
        <f t="shared" ca="1" si="17"/>
        <v>3684665.3855155818</v>
      </c>
    </row>
    <row r="75" spans="1:23" x14ac:dyDescent="0.2">
      <c r="A75" s="6">
        <f t="shared" ca="1" si="21"/>
        <v>47849</v>
      </c>
      <c r="B75" s="12">
        <f t="shared" ca="1" si="22"/>
        <v>1</v>
      </c>
      <c r="C75" s="7">
        <f ca="1">(YEAR(A75)-YEAR('ÖNYP kalkulátor'!$C$10))+(MONTH(CF!A75)-MONTH('ÖNYP kalkulátor'!$C$10)-1)/12</f>
        <v>49.583333333333336</v>
      </c>
      <c r="D75" s="4">
        <f ca="1">(1+VLOOKUP(YEAR(A75),'ÖNYP kalkulátor'!$E$15:$F$75,2,FALSE))^(1/12)-1</f>
        <v>2.4662697723036864E-3</v>
      </c>
      <c r="E75" s="4">
        <f t="shared" ca="1" si="13"/>
        <v>1.1989170133892169</v>
      </c>
      <c r="F75" s="8">
        <f t="shared" ca="1" si="14"/>
        <v>4406739.8101527812</v>
      </c>
      <c r="G75" s="8">
        <v>10000</v>
      </c>
      <c r="H75" s="8">
        <v>250000</v>
      </c>
      <c r="I75" s="8">
        <v>500000</v>
      </c>
      <c r="J75" s="8">
        <v>750000</v>
      </c>
      <c r="K75" s="8"/>
      <c r="L75" s="4">
        <f ca="1">+IF('ÖNYP kalkulátor'!$C$16="nem",0,
IF(MONTH(A75)=1,VLOOKUP(YEAR(A75),'ÖNYP kalkulátor'!$E$15:$J$75,4),0))</f>
        <v>0.03</v>
      </c>
      <c r="M75" s="8">
        <f t="shared" ca="1" si="23"/>
        <v>36896.215962746101</v>
      </c>
      <c r="N75" s="8">
        <f t="shared" ca="1" si="24"/>
        <v>12298.7386542487</v>
      </c>
      <c r="O75" s="8">
        <f t="shared" ca="1" si="18"/>
        <v>49194.954616994801</v>
      </c>
      <c r="P75" s="8">
        <f t="shared" ca="1" si="19"/>
        <v>45843.257339975113</v>
      </c>
      <c r="Q75" s="8">
        <f t="shared" ca="1" si="20"/>
        <v>45843.257339975113</v>
      </c>
      <c r="R75" s="13">
        <v>150000</v>
      </c>
      <c r="S75" s="13">
        <f ca="1">MIN(IF(AND(MONTH(A75)=5,'ÖNYP kalkulátor'!$IU$6="igen"),(M75+N75)*12/(1+IF('ÖNYP kalkulátor'!$C$16="nem",0,VLOOKUP(YEAR(A75),'ÖNYP kalkulátor'!$E$15:$J$75,4)))*0.2,0),R75)</f>
        <v>0</v>
      </c>
      <c r="T75" s="4">
        <f ca="1">(1+VLOOKUP(YEAR(A75),'ÖNYP kalkulátor'!$E$15:$F$75,2,FALSE)+VLOOKUP(YEAR(A75),'ÖNYP kalkulátor'!$E$15:$I$75,5,FALSE))^(1/12)-1</f>
        <v>4.0741237836483535E-3</v>
      </c>
      <c r="U75" s="8">
        <f t="shared" ca="1" si="15"/>
        <v>18140.374573942179</v>
      </c>
      <c r="V75" s="14">
        <f t="shared" ca="1" si="16"/>
        <v>4470723.4420666983</v>
      </c>
      <c r="W75" s="8">
        <f t="shared" ca="1" si="17"/>
        <v>3728968.220601371</v>
      </c>
    </row>
    <row r="76" spans="1:23" x14ac:dyDescent="0.2">
      <c r="A76" s="6">
        <f t="shared" ca="1" si="21"/>
        <v>47880</v>
      </c>
      <c r="B76" s="12">
        <f t="shared" ca="1" si="22"/>
        <v>2</v>
      </c>
      <c r="C76" s="7">
        <f ca="1">(YEAR(A76)-YEAR('ÖNYP kalkulátor'!$C$10))+(MONTH(CF!A76)-MONTH('ÖNYP kalkulátor'!$C$10)-1)/12</f>
        <v>49.666666666666664</v>
      </c>
      <c r="D76" s="4">
        <f ca="1">(1+VLOOKUP(YEAR(A76),'ÖNYP kalkulátor'!$E$15:$F$75,2,FALSE))^(1/12)-1</f>
        <v>2.4662697723036864E-3</v>
      </c>
      <c r="E76" s="4">
        <f t="shared" ca="1" si="13"/>
        <v>1.2018738661788393</v>
      </c>
      <c r="F76" s="8">
        <f t="shared" ca="1" si="14"/>
        <v>4470723.4420666983</v>
      </c>
      <c r="G76" s="8">
        <v>10000</v>
      </c>
      <c r="H76" s="8">
        <v>250000</v>
      </c>
      <c r="I76" s="8">
        <v>500000</v>
      </c>
      <c r="J76" s="8">
        <v>750000</v>
      </c>
      <c r="K76" s="8"/>
      <c r="L76" s="4">
        <f ca="1">+IF('ÖNYP kalkulátor'!$C$16="nem",0,
IF(MONTH(A76)=1,VLOOKUP(YEAR(A76),'ÖNYP kalkulátor'!$E$15:$J$75,4),0))</f>
        <v>0</v>
      </c>
      <c r="M76" s="8">
        <f t="shared" ca="1" si="23"/>
        <v>36896.215962746101</v>
      </c>
      <c r="N76" s="8">
        <f t="shared" ca="1" si="24"/>
        <v>12298.7386542487</v>
      </c>
      <c r="O76" s="8">
        <f t="shared" ca="1" si="18"/>
        <v>98389.909233989601</v>
      </c>
      <c r="P76" s="8">
        <f t="shared" ca="1" si="19"/>
        <v>92086.514679950225</v>
      </c>
      <c r="Q76" s="8">
        <f t="shared" ca="1" si="20"/>
        <v>46243.257339975113</v>
      </c>
      <c r="R76" s="13">
        <v>150000</v>
      </c>
      <c r="S76" s="13">
        <f ca="1">MIN(IF(AND(MONTH(A76)=5,'ÖNYP kalkulátor'!$IU$6="igen"),(M76+N76)*12/(1+IF('ÖNYP kalkulátor'!$C$16="nem",0,VLOOKUP(YEAR(A76),'ÖNYP kalkulátor'!$E$15:$J$75,4)))*0.2,0),R76)</f>
        <v>0</v>
      </c>
      <c r="T76" s="4">
        <f ca="1">(1+VLOOKUP(YEAR(A76),'ÖNYP kalkulátor'!$E$15:$F$75,2,FALSE)+VLOOKUP(YEAR(A76),'ÖNYP kalkulátor'!$E$15:$I$75,5,FALSE))^(1/12)-1</f>
        <v>4.0741237836483535E-3</v>
      </c>
      <c r="U76" s="8">
        <f t="shared" ca="1" si="15"/>
        <v>18402.681460000331</v>
      </c>
      <c r="V76" s="14">
        <f t="shared" ca="1" si="16"/>
        <v>4535369.3808666738</v>
      </c>
      <c r="W76" s="8">
        <f t="shared" ca="1" si="17"/>
        <v>3773581.8279218739</v>
      </c>
    </row>
    <row r="77" spans="1:23" x14ac:dyDescent="0.2">
      <c r="A77" s="6">
        <f t="shared" ca="1" si="21"/>
        <v>47908</v>
      </c>
      <c r="B77" s="12">
        <f t="shared" ca="1" si="22"/>
        <v>3</v>
      </c>
      <c r="C77" s="7">
        <f ca="1">(YEAR(A77)-YEAR('ÖNYP kalkulátor'!$C$10))+(MONTH(CF!A77)-MONTH('ÖNYP kalkulátor'!$C$10)-1)/12</f>
        <v>49.75</v>
      </c>
      <c r="D77" s="4">
        <f ca="1">(1+VLOOKUP(YEAR(A77),'ÖNYP kalkulátor'!$E$15:$F$75,2,FALSE))^(1/12)-1</f>
        <v>2.4662697723036864E-3</v>
      </c>
      <c r="E77" s="4">
        <f t="shared" ca="1" si="13"/>
        <v>1.204838011365118</v>
      </c>
      <c r="F77" s="8">
        <f t="shared" ca="1" si="14"/>
        <v>4535369.3808666738</v>
      </c>
      <c r="G77" s="8">
        <v>10000</v>
      </c>
      <c r="H77" s="8">
        <v>250000</v>
      </c>
      <c r="I77" s="8">
        <v>500000</v>
      </c>
      <c r="J77" s="8">
        <v>750000</v>
      </c>
      <c r="K77" s="8"/>
      <c r="L77" s="4">
        <f ca="1">+IF('ÖNYP kalkulátor'!$C$16="nem",0,
IF(MONTH(A77)=1,VLOOKUP(YEAR(A77),'ÖNYP kalkulátor'!$E$15:$J$75,4),0))</f>
        <v>0</v>
      </c>
      <c r="M77" s="8">
        <f t="shared" ca="1" si="23"/>
        <v>36896.215962746101</v>
      </c>
      <c r="N77" s="8">
        <f t="shared" ca="1" si="24"/>
        <v>12298.7386542487</v>
      </c>
      <c r="O77" s="8">
        <f t="shared" ca="1" si="18"/>
        <v>147584.8638509844</v>
      </c>
      <c r="P77" s="8">
        <f t="shared" ca="1" si="19"/>
        <v>138329.77201992532</v>
      </c>
      <c r="Q77" s="8">
        <f t="shared" ca="1" si="20"/>
        <v>46243.257339975098</v>
      </c>
      <c r="R77" s="13">
        <v>150000</v>
      </c>
      <c r="S77" s="13">
        <f ca="1">MIN(IF(AND(MONTH(A77)=5,'ÖNYP kalkulátor'!$IU$6="igen"),(M77+N77)*12/(1+IF('ÖNYP kalkulátor'!$C$16="nem",0,VLOOKUP(YEAR(A77),'ÖNYP kalkulátor'!$E$15:$J$75,4)))*0.2,0),R77)</f>
        <v>0</v>
      </c>
      <c r="T77" s="4">
        <f ca="1">(1+VLOOKUP(YEAR(A77),'ÖNYP kalkulátor'!$E$15:$F$75,2,FALSE)+VLOOKUP(YEAR(A77),'ÖNYP kalkulátor'!$E$15:$I$75,5,FALSE))^(1/12)-1</f>
        <v>4.0741237836483535E-3</v>
      </c>
      <c r="U77" s="8">
        <f t="shared" ca="1" si="15"/>
        <v>18666.057016781586</v>
      </c>
      <c r="V77" s="14">
        <f t="shared" ca="1" si="16"/>
        <v>4600278.6952234302</v>
      </c>
      <c r="W77" s="8">
        <f t="shared" ca="1" si="17"/>
        <v>3818171.9466263973</v>
      </c>
    </row>
    <row r="78" spans="1:23" x14ac:dyDescent="0.2">
      <c r="A78" s="6">
        <f t="shared" ca="1" si="21"/>
        <v>47939</v>
      </c>
      <c r="B78" s="12">
        <f t="shared" ca="1" si="22"/>
        <v>4</v>
      </c>
      <c r="C78" s="7">
        <f ca="1">(YEAR(A78)-YEAR('ÖNYP kalkulátor'!$C$10))+(MONTH(CF!A78)-MONTH('ÖNYP kalkulátor'!$C$10)-1)/12</f>
        <v>49.833333333333336</v>
      </c>
      <c r="D78" s="4">
        <f ca="1">(1+VLOOKUP(YEAR(A78),'ÖNYP kalkulátor'!$E$15:$F$75,2,FALSE))^(1/12)-1</f>
        <v>2.4662697723036864E-3</v>
      </c>
      <c r="E78" s="4">
        <f t="shared" ca="1" si="13"/>
        <v>1.2078094669330703</v>
      </c>
      <c r="F78" s="8">
        <f t="shared" ca="1" si="14"/>
        <v>4600278.6952234302</v>
      </c>
      <c r="G78" s="8">
        <v>10000</v>
      </c>
      <c r="H78" s="8">
        <v>250000</v>
      </c>
      <c r="I78" s="8">
        <v>500000</v>
      </c>
      <c r="J78" s="8">
        <v>750000</v>
      </c>
      <c r="K78" s="8"/>
      <c r="L78" s="4">
        <f ca="1">+IF('ÖNYP kalkulátor'!$C$16="nem",0,
IF(MONTH(A78)=1,VLOOKUP(YEAR(A78),'ÖNYP kalkulátor'!$E$15:$J$75,4),0))</f>
        <v>0</v>
      </c>
      <c r="M78" s="8">
        <f t="shared" ca="1" si="23"/>
        <v>36896.215962746101</v>
      </c>
      <c r="N78" s="8">
        <f t="shared" ca="1" si="24"/>
        <v>12298.7386542487</v>
      </c>
      <c r="O78" s="8">
        <f t="shared" ca="1" si="18"/>
        <v>196779.8184679792</v>
      </c>
      <c r="P78" s="8">
        <f t="shared" ca="1" si="19"/>
        <v>184573.02935990045</v>
      </c>
      <c r="Q78" s="8">
        <f t="shared" ca="1" si="20"/>
        <v>46243.257339975127</v>
      </c>
      <c r="R78" s="13">
        <v>150000</v>
      </c>
      <c r="S78" s="13">
        <f ca="1">MIN(IF(AND(MONTH(A78)=5,'ÖNYP kalkulátor'!$IU$6="igen"),(M78+N78)*12/(1+IF('ÖNYP kalkulátor'!$C$16="nem",0,VLOOKUP(YEAR(A78),'ÖNYP kalkulátor'!$E$15:$J$75,4)))*0.2,0),R78)</f>
        <v>0</v>
      </c>
      <c r="T78" s="4">
        <f ca="1">(1+VLOOKUP(YEAR(A78),'ÖNYP kalkulátor'!$E$15:$F$75,2,FALSE)+VLOOKUP(YEAR(A78),'ÖNYP kalkulátor'!$E$15:$I$75,5,FALSE))^(1/12)-1</f>
        <v>4.0741237836483535E-3</v>
      </c>
      <c r="U78" s="8">
        <f t="shared" ca="1" si="15"/>
        <v>18930.505598182754</v>
      </c>
      <c r="V78" s="14">
        <f t="shared" ca="1" si="16"/>
        <v>4665452.4581615878</v>
      </c>
      <c r="W78" s="8">
        <f t="shared" ca="1" si="17"/>
        <v>3862738.7728698105</v>
      </c>
    </row>
    <row r="79" spans="1:23" x14ac:dyDescent="0.2">
      <c r="A79" s="6">
        <f t="shared" ca="1" si="21"/>
        <v>47969</v>
      </c>
      <c r="B79" s="12">
        <f t="shared" ca="1" si="22"/>
        <v>5</v>
      </c>
      <c r="C79" s="7">
        <f ca="1">(YEAR(A79)-YEAR('ÖNYP kalkulátor'!$C$10))+(MONTH(CF!A79)-MONTH('ÖNYP kalkulátor'!$C$10)-1)/12</f>
        <v>49.916666666666664</v>
      </c>
      <c r="D79" s="4">
        <f ca="1">(1+VLOOKUP(YEAR(A79),'ÖNYP kalkulátor'!$E$15:$F$75,2,FALSE))^(1/12)-1</f>
        <v>2.4662697723036864E-3</v>
      </c>
      <c r="E79" s="4">
        <f t="shared" ca="1" si="13"/>
        <v>1.2107882509120695</v>
      </c>
      <c r="F79" s="8">
        <f t="shared" ca="1" si="14"/>
        <v>4665452.4581615878</v>
      </c>
      <c r="G79" s="8">
        <v>10000</v>
      </c>
      <c r="H79" s="8">
        <v>250000</v>
      </c>
      <c r="I79" s="8">
        <v>500000</v>
      </c>
      <c r="J79" s="8">
        <v>750000</v>
      </c>
      <c r="K79" s="8"/>
      <c r="L79" s="4">
        <f ca="1">+IF('ÖNYP kalkulátor'!$C$16="nem",0,
IF(MONTH(A79)=1,VLOOKUP(YEAR(A79),'ÖNYP kalkulátor'!$E$15:$J$75,4),0))</f>
        <v>0</v>
      </c>
      <c r="M79" s="8">
        <f t="shared" ca="1" si="23"/>
        <v>36896.215962746101</v>
      </c>
      <c r="N79" s="8">
        <f t="shared" ca="1" si="24"/>
        <v>12298.7386542487</v>
      </c>
      <c r="O79" s="8">
        <f t="shared" ca="1" si="18"/>
        <v>245974.773084974</v>
      </c>
      <c r="P79" s="8">
        <f t="shared" ca="1" si="19"/>
        <v>230816.28669987555</v>
      </c>
      <c r="Q79" s="8">
        <f t="shared" ca="1" si="20"/>
        <v>46243.257339975098</v>
      </c>
      <c r="R79" s="13">
        <v>150000</v>
      </c>
      <c r="S79" s="13">
        <f ca="1">MIN(IF(AND(MONTH(A79)=5,'ÖNYP kalkulátor'!$IU$6="igen"),(M79+N79)*12/(1+IF('ÖNYP kalkulátor'!$C$16="nem",0,VLOOKUP(YEAR(A79),'ÖNYP kalkulátor'!$E$15:$J$75,4)))*0.2,0),R79)</f>
        <v>114629.020466784</v>
      </c>
      <c r="T79" s="4">
        <f ca="1">(1+VLOOKUP(YEAR(A79),'ÖNYP kalkulátor'!$E$15:$F$75,2,FALSE)+VLOOKUP(YEAR(A79),'ÖNYP kalkulátor'!$E$15:$I$75,5,FALSE))^(1/12)-1</f>
        <v>4.0741237836483535E-3</v>
      </c>
      <c r="U79" s="8">
        <f t="shared" ca="1" si="15"/>
        <v>19663.044394419001</v>
      </c>
      <c r="V79" s="14">
        <f t="shared" ca="1" si="16"/>
        <v>4845987.7803627653</v>
      </c>
      <c r="W79" s="8">
        <f t="shared" ca="1" si="17"/>
        <v>4002341.2654626868</v>
      </c>
    </row>
    <row r="80" spans="1:23" x14ac:dyDescent="0.2">
      <c r="A80" s="6">
        <f t="shared" ca="1" si="21"/>
        <v>48000</v>
      </c>
      <c r="B80" s="12">
        <f t="shared" ca="1" si="22"/>
        <v>6</v>
      </c>
      <c r="C80" s="7">
        <f ca="1">(YEAR(A80)-YEAR('ÖNYP kalkulátor'!$C$10))+(MONTH(CF!A80)-MONTH('ÖNYP kalkulátor'!$C$10)-1)/12</f>
        <v>50</v>
      </c>
      <c r="D80" s="4">
        <f ca="1">(1+VLOOKUP(YEAR(A80),'ÖNYP kalkulátor'!$E$15:$F$75,2,FALSE))^(1/12)-1</f>
        <v>2.4662697723036864E-3</v>
      </c>
      <c r="E80" s="4">
        <f t="shared" ca="1" si="13"/>
        <v>1.2137743813759545</v>
      </c>
      <c r="F80" s="8">
        <f t="shared" ca="1" si="14"/>
        <v>4845987.7803627653</v>
      </c>
      <c r="G80" s="8">
        <v>10000</v>
      </c>
      <c r="H80" s="8">
        <v>250000</v>
      </c>
      <c r="I80" s="8">
        <v>500000</v>
      </c>
      <c r="J80" s="8">
        <v>750000</v>
      </c>
      <c r="K80" s="8"/>
      <c r="L80" s="4">
        <f ca="1">+IF('ÖNYP kalkulátor'!$C$16="nem",0,
IF(MONTH(A80)=1,VLOOKUP(YEAR(A80),'ÖNYP kalkulátor'!$E$15:$J$75,4),0))</f>
        <v>0</v>
      </c>
      <c r="M80" s="8">
        <f t="shared" ca="1" si="23"/>
        <v>36896.215962746101</v>
      </c>
      <c r="N80" s="8">
        <f t="shared" ca="1" si="24"/>
        <v>12298.7386542487</v>
      </c>
      <c r="O80" s="8">
        <f t="shared" ca="1" si="18"/>
        <v>295169.7277019688</v>
      </c>
      <c r="P80" s="8">
        <f t="shared" ca="1" si="19"/>
        <v>277511.24131687038</v>
      </c>
      <c r="Q80" s="8">
        <f t="shared" ca="1" si="20"/>
        <v>46694.95461699483</v>
      </c>
      <c r="R80" s="13">
        <v>150000</v>
      </c>
      <c r="S80" s="13">
        <f ca="1">MIN(IF(AND(MONTH(A80)=5,'ÖNYP kalkulátor'!$IU$6="igen"),(M80+N80)*12/(1+IF('ÖNYP kalkulátor'!$C$16="nem",0,VLOOKUP(YEAR(A80),'ÖNYP kalkulátor'!$E$15:$J$75,4)))*0.2,0),R80)</f>
        <v>0</v>
      </c>
      <c r="T80" s="4">
        <f ca="1">(1+VLOOKUP(YEAR(A80),'ÖNYP kalkulátor'!$E$15:$F$75,2,FALSE)+VLOOKUP(YEAR(A80),'ÖNYP kalkulátor'!$E$15:$I$75,5,FALSE))^(1/12)-1</f>
        <v>4.0741237836483535E-3</v>
      </c>
      <c r="U80" s="8">
        <f t="shared" ca="1" si="15"/>
        <v>19933.395096426713</v>
      </c>
      <c r="V80" s="14">
        <f t="shared" ca="1" si="16"/>
        <v>4912616.1300761867</v>
      </c>
      <c r="W80" s="8">
        <f t="shared" ca="1" si="17"/>
        <v>4047388.2176580168</v>
      </c>
    </row>
    <row r="81" spans="1:23" x14ac:dyDescent="0.2">
      <c r="A81" s="6">
        <f t="shared" ca="1" si="21"/>
        <v>48030</v>
      </c>
      <c r="B81" s="12">
        <f t="shared" ca="1" si="22"/>
        <v>7</v>
      </c>
      <c r="C81" s="7">
        <f ca="1">(YEAR(A81)-YEAR('ÖNYP kalkulátor'!$C$10))+(MONTH(CF!A81)-MONTH('ÖNYP kalkulátor'!$C$10)-1)/12</f>
        <v>50.083333333333336</v>
      </c>
      <c r="D81" s="4">
        <f ca="1">(1+VLOOKUP(YEAR(A81),'ÖNYP kalkulátor'!$E$15:$F$75,2,FALSE))^(1/12)-1</f>
        <v>2.4662697723036864E-3</v>
      </c>
      <c r="E81" s="4">
        <f t="shared" ca="1" si="13"/>
        <v>1.2167678764431387</v>
      </c>
      <c r="F81" s="8">
        <f t="shared" ca="1" si="14"/>
        <v>4912616.1300761867</v>
      </c>
      <c r="G81" s="8">
        <v>10000</v>
      </c>
      <c r="H81" s="8">
        <v>250000</v>
      </c>
      <c r="I81" s="8">
        <v>500000</v>
      </c>
      <c r="J81" s="8">
        <v>750000</v>
      </c>
      <c r="K81" s="8"/>
      <c r="L81" s="4">
        <f ca="1">+IF('ÖNYP kalkulátor'!$C$16="nem",0,
IF(MONTH(A81)=1,VLOOKUP(YEAR(A81),'ÖNYP kalkulátor'!$E$15:$J$75,4),0))</f>
        <v>0</v>
      </c>
      <c r="M81" s="8">
        <f t="shared" ca="1" si="23"/>
        <v>36896.215962746101</v>
      </c>
      <c r="N81" s="8">
        <f t="shared" ca="1" si="24"/>
        <v>12298.7386542487</v>
      </c>
      <c r="O81" s="8">
        <f t="shared" ca="1" si="18"/>
        <v>344364.68231896363</v>
      </c>
      <c r="P81" s="8">
        <f t="shared" ca="1" si="19"/>
        <v>324246.44820301543</v>
      </c>
      <c r="Q81" s="8">
        <f t="shared" ca="1" si="20"/>
        <v>46735.206886145053</v>
      </c>
      <c r="R81" s="13">
        <v>150000</v>
      </c>
      <c r="S81" s="13">
        <f ca="1">MIN(IF(AND(MONTH(A81)=5,'ÖNYP kalkulátor'!$IU$6="igen"),(M81+N81)*12/(1+IF('ÖNYP kalkulátor'!$C$16="nem",0,VLOOKUP(YEAR(A81),'ÖNYP kalkulátor'!$E$15:$J$75,4)))*0.2,0),R81)</f>
        <v>0</v>
      </c>
      <c r="T81" s="4">
        <f ca="1">(1+VLOOKUP(YEAR(A81),'ÖNYP kalkulátor'!$E$15:$F$75,2,FALSE)+VLOOKUP(YEAR(A81),'ÖNYP kalkulátor'!$E$15:$I$75,5,FALSE))^(1/12)-1</f>
        <v>4.0741237836483535E-3</v>
      </c>
      <c r="U81" s="8">
        <f t="shared" ca="1" si="15"/>
        <v>20205.011233386496</v>
      </c>
      <c r="V81" s="14">
        <f t="shared" ca="1" si="16"/>
        <v>4979556.3481957186</v>
      </c>
      <c r="W81" s="8">
        <f t="shared" ca="1" si="17"/>
        <v>4092445.604951357</v>
      </c>
    </row>
    <row r="82" spans="1:23" x14ac:dyDescent="0.2">
      <c r="A82" s="6">
        <f t="shared" ca="1" si="21"/>
        <v>48061</v>
      </c>
      <c r="B82" s="12">
        <f t="shared" ca="1" si="22"/>
        <v>8</v>
      </c>
      <c r="C82" s="7">
        <f ca="1">(YEAR(A82)-YEAR('ÖNYP kalkulátor'!$C$10))+(MONTH(CF!A82)-MONTH('ÖNYP kalkulátor'!$C$10)-1)/12</f>
        <v>50.166666666666664</v>
      </c>
      <c r="D82" s="4">
        <f ca="1">(1+VLOOKUP(YEAR(A82),'ÖNYP kalkulátor'!$E$15:$F$75,2,FALSE))^(1/12)-1</f>
        <v>2.4662697723036864E-3</v>
      </c>
      <c r="E82" s="4">
        <f t="shared" ca="1" si="13"/>
        <v>1.2197687542767206</v>
      </c>
      <c r="F82" s="8">
        <f t="shared" ca="1" si="14"/>
        <v>4979556.3481957186</v>
      </c>
      <c r="G82" s="8">
        <v>10000</v>
      </c>
      <c r="H82" s="8">
        <v>250000</v>
      </c>
      <c r="I82" s="8">
        <v>500000</v>
      </c>
      <c r="J82" s="8">
        <v>750000</v>
      </c>
      <c r="K82" s="8"/>
      <c r="L82" s="4">
        <f ca="1">+IF('ÖNYP kalkulátor'!$C$16="nem",0,
IF(MONTH(A82)=1,VLOOKUP(YEAR(A82),'ÖNYP kalkulátor'!$E$15:$J$75,4),0))</f>
        <v>0</v>
      </c>
      <c r="M82" s="8">
        <f t="shared" ca="1" si="23"/>
        <v>36896.215962746101</v>
      </c>
      <c r="N82" s="8">
        <f t="shared" ca="1" si="24"/>
        <v>12298.7386542487</v>
      </c>
      <c r="O82" s="8">
        <f t="shared" ca="1" si="18"/>
        <v>393559.63693595846</v>
      </c>
      <c r="P82" s="8">
        <f t="shared" ca="1" si="19"/>
        <v>370981.65508916054</v>
      </c>
      <c r="Q82" s="8">
        <f t="shared" ca="1" si="20"/>
        <v>46735.206886145112</v>
      </c>
      <c r="R82" s="13">
        <v>150000</v>
      </c>
      <c r="S82" s="13">
        <f ca="1">MIN(IF(AND(MONTH(A82)=5,'ÖNYP kalkulátor'!$IU$6="igen"),(M82+N82)*12/(1+IF('ÖNYP kalkulátor'!$C$16="nem",0,VLOOKUP(YEAR(A82),'ÖNYP kalkulátor'!$E$15:$J$75,4)))*0.2,0),R82)</f>
        <v>0</v>
      </c>
      <c r="T82" s="4">
        <f ca="1">(1+VLOOKUP(YEAR(A82),'ÖNYP kalkulátor'!$E$15:$F$75,2,FALSE)+VLOOKUP(YEAR(A82),'ÖNYP kalkulátor'!$E$15:$I$75,5,FALSE))^(1/12)-1</f>
        <v>4.0741237836483535E-3</v>
      </c>
      <c r="U82" s="8">
        <f t="shared" ca="1" si="15"/>
        <v>20477.733968109889</v>
      </c>
      <c r="V82" s="14">
        <f t="shared" ca="1" si="16"/>
        <v>5046769.2890499737</v>
      </c>
      <c r="W82" s="8">
        <f t="shared" ca="1" si="17"/>
        <v>4137480.3800762449</v>
      </c>
    </row>
    <row r="83" spans="1:23" x14ac:dyDescent="0.2">
      <c r="A83" s="6">
        <f t="shared" ca="1" si="21"/>
        <v>48092</v>
      </c>
      <c r="B83" s="12">
        <f t="shared" ca="1" si="22"/>
        <v>9</v>
      </c>
      <c r="C83" s="7">
        <f ca="1">(YEAR(A83)-YEAR('ÖNYP kalkulátor'!$C$10))+(MONTH(CF!A83)-MONTH('ÖNYP kalkulátor'!$C$10)-1)/12</f>
        <v>50.25</v>
      </c>
      <c r="D83" s="4">
        <f ca="1">(1+VLOOKUP(YEAR(A83),'ÖNYP kalkulátor'!$E$15:$F$75,2,FALSE))^(1/12)-1</f>
        <v>2.4662697723036864E-3</v>
      </c>
      <c r="E83" s="4">
        <f t="shared" ca="1" si="13"/>
        <v>1.2227770330845937</v>
      </c>
      <c r="F83" s="8">
        <f t="shared" ca="1" si="14"/>
        <v>5046769.2890499737</v>
      </c>
      <c r="G83" s="8">
        <v>10000</v>
      </c>
      <c r="H83" s="8">
        <v>250000</v>
      </c>
      <c r="I83" s="8">
        <v>500000</v>
      </c>
      <c r="J83" s="8">
        <v>750000</v>
      </c>
      <c r="K83" s="8"/>
      <c r="L83" s="4">
        <f ca="1">+IF('ÖNYP kalkulátor'!$C$16="nem",0,
IF(MONTH(A83)=1,VLOOKUP(YEAR(A83),'ÖNYP kalkulátor'!$E$15:$J$75,4),0))</f>
        <v>0</v>
      </c>
      <c r="M83" s="8">
        <f t="shared" ca="1" si="23"/>
        <v>36896.215962746101</v>
      </c>
      <c r="N83" s="8">
        <f t="shared" ca="1" si="24"/>
        <v>12298.7386542487</v>
      </c>
      <c r="O83" s="8">
        <f t="shared" ca="1" si="18"/>
        <v>442754.59155295329</v>
      </c>
      <c r="P83" s="8">
        <f t="shared" ca="1" si="19"/>
        <v>417716.8619753056</v>
      </c>
      <c r="Q83" s="8">
        <f t="shared" ca="1" si="20"/>
        <v>46735.206886145053</v>
      </c>
      <c r="R83" s="13">
        <v>150000</v>
      </c>
      <c r="S83" s="13">
        <f ca="1">MIN(IF(AND(MONTH(A83)=5,'ÖNYP kalkulátor'!$IU$6="igen"),(M83+N83)*12/(1+IF('ÖNYP kalkulátor'!$C$16="nem",0,VLOOKUP(YEAR(A83),'ÖNYP kalkulátor'!$E$15:$J$75,4)))*0.2,0),R83)</f>
        <v>0</v>
      </c>
      <c r="T83" s="4">
        <f ca="1">(1+VLOOKUP(YEAR(A83),'ÖNYP kalkulátor'!$E$15:$F$75,2,FALSE)+VLOOKUP(YEAR(A83),'ÖNYP kalkulátor'!$E$15:$I$75,5,FALSE))^(1/12)-1</f>
        <v>4.0741237836483535E-3</v>
      </c>
      <c r="U83" s="8">
        <f t="shared" ca="1" si="15"/>
        <v>20751.567809013162</v>
      </c>
      <c r="V83" s="14">
        <f t="shared" ca="1" si="16"/>
        <v>5114256.0637451317</v>
      </c>
      <c r="W83" s="8">
        <f t="shared" ca="1" si="17"/>
        <v>4182492.7401881609</v>
      </c>
    </row>
    <row r="84" spans="1:23" x14ac:dyDescent="0.2">
      <c r="A84" s="6">
        <f t="shared" ca="1" si="21"/>
        <v>48122</v>
      </c>
      <c r="B84" s="12">
        <f t="shared" ca="1" si="22"/>
        <v>10</v>
      </c>
      <c r="C84" s="7">
        <f ca="1">(YEAR(A84)-YEAR('ÖNYP kalkulátor'!$C$10))+(MONTH(CF!A84)-MONTH('ÖNYP kalkulátor'!$C$10)-1)/12</f>
        <v>50.333333333333336</v>
      </c>
      <c r="D84" s="4">
        <f ca="1">(1+VLOOKUP(YEAR(A84),'ÖNYP kalkulátor'!$E$15:$F$75,2,FALSE))^(1/12)-1</f>
        <v>2.4662697723036864E-3</v>
      </c>
      <c r="E84" s="4">
        <f t="shared" ca="1" si="13"/>
        <v>1.2257927311195576</v>
      </c>
      <c r="F84" s="8">
        <f t="shared" ca="1" si="14"/>
        <v>5114256.0637451317</v>
      </c>
      <c r="G84" s="8">
        <v>10000</v>
      </c>
      <c r="H84" s="8">
        <v>250000</v>
      </c>
      <c r="I84" s="8">
        <v>500000</v>
      </c>
      <c r="J84" s="8">
        <v>750000</v>
      </c>
      <c r="K84" s="8"/>
      <c r="L84" s="4">
        <f ca="1">+IF('ÖNYP kalkulátor'!$C$16="nem",0,
IF(MONTH(A84)=1,VLOOKUP(YEAR(A84),'ÖNYP kalkulátor'!$E$15:$J$75,4),0))</f>
        <v>0</v>
      </c>
      <c r="M84" s="8">
        <f t="shared" ca="1" si="23"/>
        <v>36896.215962746101</v>
      </c>
      <c r="N84" s="8">
        <f t="shared" ca="1" si="24"/>
        <v>12298.7386542487</v>
      </c>
      <c r="O84" s="8">
        <f t="shared" ca="1" si="18"/>
        <v>491949.54616994812</v>
      </c>
      <c r="P84" s="8">
        <f t="shared" ca="1" si="19"/>
        <v>464452.06886145071</v>
      </c>
      <c r="Q84" s="8">
        <f t="shared" ca="1" si="20"/>
        <v>46735.206886145112</v>
      </c>
      <c r="R84" s="13">
        <v>150000</v>
      </c>
      <c r="S84" s="13">
        <f ca="1">MIN(IF(AND(MONTH(A84)=5,'ÖNYP kalkulátor'!$IU$6="igen"),(M84+N84)*12/(1+IF('ÖNYP kalkulátor'!$C$16="nem",0,VLOOKUP(YEAR(A84),'ÖNYP kalkulátor'!$E$15:$J$75,4)))*0.2,0),R84)</f>
        <v>0</v>
      </c>
      <c r="T84" s="4">
        <f ca="1">(1+VLOOKUP(YEAR(A84),'ÖNYP kalkulátor'!$E$15:$F$75,2,FALSE)+VLOOKUP(YEAR(A84),'ÖNYP kalkulátor'!$E$15:$I$75,5,FALSE))^(1/12)-1</f>
        <v>4.0741237836483535E-3</v>
      </c>
      <c r="U84" s="8">
        <f t="shared" ca="1" si="15"/>
        <v>21026.517282880421</v>
      </c>
      <c r="V84" s="14">
        <f t="shared" ca="1" si="16"/>
        <v>5182017.7879141578</v>
      </c>
      <c r="W84" s="8">
        <f t="shared" ca="1" si="17"/>
        <v>4227482.8821845334</v>
      </c>
    </row>
    <row r="85" spans="1:23" x14ac:dyDescent="0.2">
      <c r="A85" s="6">
        <f t="shared" ca="1" si="21"/>
        <v>48153</v>
      </c>
      <c r="B85" s="12">
        <f t="shared" ca="1" si="22"/>
        <v>11</v>
      </c>
      <c r="C85" s="7">
        <f ca="1">(YEAR(A85)-YEAR('ÖNYP kalkulátor'!$C$10))+(MONTH(CF!A85)-MONTH('ÖNYP kalkulátor'!$C$10)-1)/12</f>
        <v>50.416666666666664</v>
      </c>
      <c r="D85" s="4">
        <f ca="1">(1+VLOOKUP(YEAR(A85),'ÖNYP kalkulátor'!$E$15:$F$75,2,FALSE))^(1/12)-1</f>
        <v>2.4662697723036864E-3</v>
      </c>
      <c r="E85" s="4">
        <f t="shared" ca="1" si="13"/>
        <v>1.2288158666794273</v>
      </c>
      <c r="F85" s="8">
        <f t="shared" ca="1" si="14"/>
        <v>5182017.7879141578</v>
      </c>
      <c r="G85" s="8">
        <v>10000</v>
      </c>
      <c r="H85" s="8">
        <v>250000</v>
      </c>
      <c r="I85" s="8">
        <v>500000</v>
      </c>
      <c r="J85" s="8">
        <v>750000</v>
      </c>
      <c r="K85" s="8"/>
      <c r="L85" s="4">
        <f ca="1">+IF('ÖNYP kalkulátor'!$C$16="nem",0,
IF(MONTH(A85)=1,VLOOKUP(YEAR(A85),'ÖNYP kalkulátor'!$E$15:$J$75,4),0))</f>
        <v>0</v>
      </c>
      <c r="M85" s="8">
        <f t="shared" ca="1" si="23"/>
        <v>36896.215962746101</v>
      </c>
      <c r="N85" s="8">
        <f t="shared" ca="1" si="24"/>
        <v>12298.7386542487</v>
      </c>
      <c r="O85" s="8">
        <f t="shared" ca="1" si="18"/>
        <v>541144.5007869429</v>
      </c>
      <c r="P85" s="8">
        <f t="shared" ca="1" si="19"/>
        <v>512421.61077120405</v>
      </c>
      <c r="Q85" s="8">
        <f t="shared" ca="1" si="20"/>
        <v>47969.541909753345</v>
      </c>
      <c r="R85" s="13">
        <v>150000</v>
      </c>
      <c r="S85" s="13">
        <f ca="1">MIN(IF(AND(MONTH(A85)=5,'ÖNYP kalkulátor'!$IU$6="igen"),(M85+N85)*12/(1+IF('ÖNYP kalkulátor'!$C$16="nem",0,VLOOKUP(YEAR(A85),'ÖNYP kalkulátor'!$E$15:$J$75,4)))*0.2,0),R85)</f>
        <v>0</v>
      </c>
      <c r="T85" s="4">
        <f ca="1">(1+VLOOKUP(YEAR(A85),'ÖNYP kalkulátor'!$E$15:$F$75,2,FALSE)+VLOOKUP(YEAR(A85),'ÖNYP kalkulátor'!$E$15:$I$75,5,FALSE))^(1/12)-1</f>
        <v>4.0741237836483535E-3</v>
      </c>
      <c r="U85" s="8">
        <f t="shared" ca="1" si="15"/>
        <v>21307.615768615142</v>
      </c>
      <c r="V85" s="14">
        <f t="shared" ca="1" si="16"/>
        <v>5251294.9455925263</v>
      </c>
      <c r="W85" s="8">
        <f t="shared" ca="1" si="17"/>
        <v>4273459.586571631</v>
      </c>
    </row>
    <row r="86" spans="1:23" x14ac:dyDescent="0.2">
      <c r="A86" s="6">
        <f t="shared" ca="1" si="21"/>
        <v>48183</v>
      </c>
      <c r="B86" s="12">
        <f t="shared" ca="1" si="22"/>
        <v>12</v>
      </c>
      <c r="C86" s="7">
        <f ca="1">(YEAR(A86)-YEAR('ÖNYP kalkulátor'!$C$10))+(MONTH(CF!A86)-MONTH('ÖNYP kalkulátor'!$C$10)-1)/12</f>
        <v>50.5</v>
      </c>
      <c r="D86" s="4">
        <f ca="1">(1+VLOOKUP(YEAR(A86),'ÖNYP kalkulátor'!$E$15:$F$75,2,FALSE))^(1/12)-1</f>
        <v>2.4662697723036864E-3</v>
      </c>
      <c r="E86" s="4">
        <f t="shared" ca="1" si="13"/>
        <v>1.231846458107146</v>
      </c>
      <c r="F86" s="8">
        <f t="shared" ca="1" si="14"/>
        <v>5251294.9455925263</v>
      </c>
      <c r="G86" s="8">
        <v>10000</v>
      </c>
      <c r="H86" s="8">
        <v>250000</v>
      </c>
      <c r="I86" s="8">
        <v>500000</v>
      </c>
      <c r="J86" s="8">
        <v>750000</v>
      </c>
      <c r="K86" s="8"/>
      <c r="L86" s="4">
        <f ca="1">+IF('ÖNYP kalkulátor'!$C$16="nem",0,
IF(MONTH(A86)=1,VLOOKUP(YEAR(A86),'ÖNYP kalkulátor'!$E$15:$J$75,4),0))</f>
        <v>0</v>
      </c>
      <c r="M86" s="8">
        <f t="shared" ca="1" si="23"/>
        <v>36896.215962746101</v>
      </c>
      <c r="N86" s="8">
        <f t="shared" ca="1" si="24"/>
        <v>12298.7386542487</v>
      </c>
      <c r="O86" s="8">
        <f t="shared" ca="1" si="18"/>
        <v>590339.45540393761</v>
      </c>
      <c r="P86" s="8">
        <f t="shared" ca="1" si="19"/>
        <v>560632.6662958588</v>
      </c>
      <c r="Q86" s="8">
        <f t="shared" ca="1" si="20"/>
        <v>48211.055524654745</v>
      </c>
      <c r="R86" s="13">
        <v>150000</v>
      </c>
      <c r="S86" s="13">
        <f ca="1">MIN(IF(AND(MONTH(A86)=5,'ÖNYP kalkulátor'!$IU$6="igen"),(M86+N86)*12/(1+IF('ÖNYP kalkulátor'!$C$16="nem",0,VLOOKUP(YEAR(A86),'ÖNYP kalkulátor'!$E$15:$J$75,4)))*0.2,0),R86)</f>
        <v>0</v>
      </c>
      <c r="T86" s="4">
        <f ca="1">(1+VLOOKUP(YEAR(A86),'ÖNYP kalkulátor'!$E$15:$F$75,2,FALSE)+VLOOKUP(YEAR(A86),'ÖNYP kalkulátor'!$E$15:$I$75,5,FALSE))^(1/12)-1</f>
        <v>4.0741237836483535E-3</v>
      </c>
      <c r="U86" s="8">
        <f t="shared" ca="1" si="15"/>
        <v>21590.843440738685</v>
      </c>
      <c r="V86" s="14">
        <f t="shared" ca="1" si="16"/>
        <v>5321096.8445579195</v>
      </c>
      <c r="W86" s="8">
        <f t="shared" ca="1" si="17"/>
        <v>4319610.459191734</v>
      </c>
    </row>
    <row r="87" spans="1:23" x14ac:dyDescent="0.2">
      <c r="A87" s="6">
        <f t="shared" ca="1" si="21"/>
        <v>48214</v>
      </c>
      <c r="B87" s="12">
        <f t="shared" ca="1" si="22"/>
        <v>1</v>
      </c>
      <c r="C87" s="7">
        <f ca="1">(YEAR(A87)-YEAR('ÖNYP kalkulátor'!$C$10))+(MONTH(CF!A87)-MONTH('ÖNYP kalkulátor'!$C$10)-1)/12</f>
        <v>50.583333333333336</v>
      </c>
      <c r="D87" s="4">
        <f ca="1">(1+VLOOKUP(YEAR(A87),'ÖNYP kalkulátor'!$E$15:$F$75,2,FALSE))^(1/12)-1</f>
        <v>2.4662697723036864E-3</v>
      </c>
      <c r="E87" s="4">
        <f t="shared" ca="1" si="13"/>
        <v>1.234884523790895</v>
      </c>
      <c r="F87" s="8">
        <f t="shared" ca="1" si="14"/>
        <v>5321096.8445579195</v>
      </c>
      <c r="G87" s="8">
        <v>10000</v>
      </c>
      <c r="H87" s="8">
        <v>250000</v>
      </c>
      <c r="I87" s="8">
        <v>500000</v>
      </c>
      <c r="J87" s="8">
        <v>750000</v>
      </c>
      <c r="K87" s="8"/>
      <c r="L87" s="4">
        <f ca="1">+IF('ÖNYP kalkulátor'!$C$16="nem",0,
IF(MONTH(A87)=1,VLOOKUP(YEAR(A87),'ÖNYP kalkulátor'!$E$15:$J$75,4),0))</f>
        <v>0.03</v>
      </c>
      <c r="M87" s="8">
        <f t="shared" ca="1" si="23"/>
        <v>38003.102441628485</v>
      </c>
      <c r="N87" s="8">
        <f t="shared" ca="1" si="24"/>
        <v>12667.700813876161</v>
      </c>
      <c r="O87" s="8">
        <f t="shared" ca="1" si="18"/>
        <v>50670.803255504645</v>
      </c>
      <c r="P87" s="8">
        <f t="shared" ca="1" si="19"/>
        <v>47230.555060174367</v>
      </c>
      <c r="Q87" s="8">
        <f t="shared" ca="1" si="20"/>
        <v>47230.555060174367</v>
      </c>
      <c r="R87" s="13">
        <v>150000</v>
      </c>
      <c r="S87" s="13">
        <f ca="1">MIN(IF(AND(MONTH(A87)=5,'ÖNYP kalkulátor'!$IU$6="igen"),(M87+N87)*12/(1+IF('ÖNYP kalkulátor'!$C$16="nem",0,VLOOKUP(YEAR(A87),'ÖNYP kalkulátor'!$E$15:$J$75,4)))*0.2,0),R87)</f>
        <v>0</v>
      </c>
      <c r="T87" s="4">
        <f ca="1">(1+VLOOKUP(YEAR(A87),'ÖNYP kalkulátor'!$E$15:$F$75,2,FALSE)+VLOOKUP(YEAR(A87),'ÖNYP kalkulátor'!$E$15:$I$75,5,FALSE))^(1/12)-1</f>
        <v>4.0741237836483535E-3</v>
      </c>
      <c r="U87" s="8">
        <f t="shared" ca="1" si="15"/>
        <v>21871.230337195197</v>
      </c>
      <c r="V87" s="14">
        <f t="shared" ca="1" si="16"/>
        <v>5390198.629955289</v>
      </c>
      <c r="W87" s="8">
        <f t="shared" ca="1" si="17"/>
        <v>4364941.4387413766</v>
      </c>
    </row>
    <row r="88" spans="1:23" x14ac:dyDescent="0.2">
      <c r="A88" s="6">
        <f t="shared" ca="1" si="21"/>
        <v>48245</v>
      </c>
      <c r="B88" s="12">
        <f t="shared" ca="1" si="22"/>
        <v>2</v>
      </c>
      <c r="C88" s="7">
        <f ca="1">(YEAR(A88)-YEAR('ÖNYP kalkulátor'!$C$10))+(MONTH(CF!A88)-MONTH('ÖNYP kalkulátor'!$C$10)-1)/12</f>
        <v>50.666666666666664</v>
      </c>
      <c r="D88" s="4">
        <f ca="1">(1+VLOOKUP(YEAR(A88),'ÖNYP kalkulátor'!$E$15:$F$75,2,FALSE))^(1/12)-1</f>
        <v>2.4662697723036864E-3</v>
      </c>
      <c r="E88" s="4">
        <f t="shared" ca="1" si="13"/>
        <v>1.2379300821642061</v>
      </c>
      <c r="F88" s="8">
        <f t="shared" ca="1" si="14"/>
        <v>5390198.629955289</v>
      </c>
      <c r="G88" s="8">
        <v>10000</v>
      </c>
      <c r="H88" s="8">
        <v>250000</v>
      </c>
      <c r="I88" s="8">
        <v>500000</v>
      </c>
      <c r="J88" s="8">
        <v>750000</v>
      </c>
      <c r="K88" s="8"/>
      <c r="L88" s="4">
        <f ca="1">+IF('ÖNYP kalkulátor'!$C$16="nem",0,
IF(MONTH(A88)=1,VLOOKUP(YEAR(A88),'ÖNYP kalkulátor'!$E$15:$J$75,4),0))</f>
        <v>0</v>
      </c>
      <c r="M88" s="8">
        <f t="shared" ca="1" si="23"/>
        <v>38003.102441628485</v>
      </c>
      <c r="N88" s="8">
        <f t="shared" ca="1" si="24"/>
        <v>12667.700813876161</v>
      </c>
      <c r="O88" s="8">
        <f t="shared" ca="1" si="18"/>
        <v>101341.60651100929</v>
      </c>
      <c r="P88" s="8">
        <f t="shared" ca="1" si="19"/>
        <v>94861.110120348734</v>
      </c>
      <c r="Q88" s="8">
        <f t="shared" ca="1" si="20"/>
        <v>47630.555060174367</v>
      </c>
      <c r="R88" s="13">
        <v>150000</v>
      </c>
      <c r="S88" s="13">
        <f ca="1">MIN(IF(AND(MONTH(A88)=5,'ÖNYP kalkulátor'!$IU$6="igen"),(M88+N88)*12/(1+IF('ÖNYP kalkulátor'!$C$16="nem",0,VLOOKUP(YEAR(A88),'ÖNYP kalkulátor'!$E$15:$J$75,4)))*0.2,0),R88)</f>
        <v>0</v>
      </c>
      <c r="T88" s="4">
        <f ca="1">(1+VLOOKUP(YEAR(A88),'ÖNYP kalkulátor'!$E$15:$F$75,2,FALSE)+VLOOKUP(YEAR(A88),'ÖNYP kalkulátor'!$E$15:$I$75,5,FALSE))^(1/12)-1</f>
        <v>4.0741237836483535E-3</v>
      </c>
      <c r="U88" s="8">
        <f t="shared" ca="1" si="15"/>
        <v>22154.389214088642</v>
      </c>
      <c r="V88" s="14">
        <f t="shared" ca="1" si="16"/>
        <v>5459983.5742295515</v>
      </c>
      <c r="W88" s="8">
        <f t="shared" ca="1" si="17"/>
        <v>4410575.0824668212</v>
      </c>
    </row>
    <row r="89" spans="1:23" x14ac:dyDescent="0.2">
      <c r="A89" s="6">
        <f t="shared" ca="1" si="21"/>
        <v>48274</v>
      </c>
      <c r="B89" s="12">
        <f t="shared" ca="1" si="22"/>
        <v>3</v>
      </c>
      <c r="C89" s="7">
        <f ca="1">(YEAR(A89)-YEAR('ÖNYP kalkulátor'!$C$10))+(MONTH(CF!A89)-MONTH('ÖNYP kalkulátor'!$C$10)-1)/12</f>
        <v>50.75</v>
      </c>
      <c r="D89" s="4">
        <f ca="1">(1+VLOOKUP(YEAR(A89),'ÖNYP kalkulátor'!$E$15:$F$75,2,FALSE))^(1/12)-1</f>
        <v>2.4662697723036864E-3</v>
      </c>
      <c r="E89" s="4">
        <f t="shared" ca="1" si="13"/>
        <v>1.240983151706073</v>
      </c>
      <c r="F89" s="8">
        <f t="shared" ca="1" si="14"/>
        <v>5459983.5742295515</v>
      </c>
      <c r="G89" s="8">
        <v>10000</v>
      </c>
      <c r="H89" s="8">
        <v>250000</v>
      </c>
      <c r="I89" s="8">
        <v>500000</v>
      </c>
      <c r="J89" s="8">
        <v>750000</v>
      </c>
      <c r="K89" s="8"/>
      <c r="L89" s="4">
        <f ca="1">+IF('ÖNYP kalkulátor'!$C$16="nem",0,
IF(MONTH(A89)=1,VLOOKUP(YEAR(A89),'ÖNYP kalkulátor'!$E$15:$J$75,4),0))</f>
        <v>0</v>
      </c>
      <c r="M89" s="8">
        <f t="shared" ca="1" si="23"/>
        <v>38003.102441628485</v>
      </c>
      <c r="N89" s="8">
        <f t="shared" ca="1" si="24"/>
        <v>12667.700813876161</v>
      </c>
      <c r="O89" s="8">
        <f t="shared" ca="1" si="18"/>
        <v>152012.40976651394</v>
      </c>
      <c r="P89" s="8">
        <f t="shared" ca="1" si="19"/>
        <v>142491.66518052309</v>
      </c>
      <c r="Q89" s="8">
        <f t="shared" ca="1" si="20"/>
        <v>47630.55506017436</v>
      </c>
      <c r="R89" s="13">
        <v>150000</v>
      </c>
      <c r="S89" s="13">
        <f ca="1">MIN(IF(AND(MONTH(A89)=5,'ÖNYP kalkulátor'!$IU$6="igen"),(M89+N89)*12/(1+IF('ÖNYP kalkulátor'!$C$16="nem",0,VLOOKUP(YEAR(A89),'ÖNYP kalkulátor'!$E$15:$J$75,4)))*0.2,0),R89)</f>
        <v>0</v>
      </c>
      <c r="T89" s="4">
        <f ca="1">(1+VLOOKUP(YEAR(A89),'ÖNYP kalkulátor'!$E$15:$F$75,2,FALSE)+VLOOKUP(YEAR(A89),'ÖNYP kalkulátor'!$E$15:$I$75,5,FALSE))^(1/12)-1</f>
        <v>4.0741237836483535E-3</v>
      </c>
      <c r="U89" s="8">
        <f t="shared" ca="1" si="15"/>
        <v>22438.701715296989</v>
      </c>
      <c r="V89" s="14">
        <f t="shared" ca="1" si="16"/>
        <v>5530052.8310050229</v>
      </c>
      <c r="W89" s="8">
        <f t="shared" ca="1" si="17"/>
        <v>4456186.8736110097</v>
      </c>
    </row>
    <row r="90" spans="1:23" x14ac:dyDescent="0.2">
      <c r="A90" s="6">
        <f t="shared" ca="1" si="21"/>
        <v>48305</v>
      </c>
      <c r="B90" s="12">
        <f t="shared" ca="1" si="22"/>
        <v>4</v>
      </c>
      <c r="C90" s="7">
        <f ca="1">(YEAR(A90)-YEAR('ÖNYP kalkulátor'!$C$10))+(MONTH(CF!A90)-MONTH('ÖNYP kalkulátor'!$C$10)-1)/12</f>
        <v>50.833333333333336</v>
      </c>
      <c r="D90" s="4">
        <f ca="1">(1+VLOOKUP(YEAR(A90),'ÖNYP kalkulátor'!$E$15:$F$75,2,FALSE))^(1/12)-1</f>
        <v>2.4662697723036864E-3</v>
      </c>
      <c r="E90" s="4">
        <f t="shared" ca="1" si="13"/>
        <v>1.2440437509410638</v>
      </c>
      <c r="F90" s="8">
        <f t="shared" ca="1" si="14"/>
        <v>5530052.8310050229</v>
      </c>
      <c r="G90" s="8">
        <v>10000</v>
      </c>
      <c r="H90" s="8">
        <v>250000</v>
      </c>
      <c r="I90" s="8">
        <v>500000</v>
      </c>
      <c r="J90" s="8">
        <v>750000</v>
      </c>
      <c r="K90" s="8"/>
      <c r="L90" s="4">
        <f ca="1">+IF('ÖNYP kalkulátor'!$C$16="nem",0,
IF(MONTH(A90)=1,VLOOKUP(YEAR(A90),'ÖNYP kalkulátor'!$E$15:$J$75,4),0))</f>
        <v>0</v>
      </c>
      <c r="M90" s="8">
        <f t="shared" ca="1" si="23"/>
        <v>38003.102441628485</v>
      </c>
      <c r="N90" s="8">
        <f t="shared" ca="1" si="24"/>
        <v>12667.700813876161</v>
      </c>
      <c r="O90" s="8">
        <f t="shared" ca="1" si="18"/>
        <v>202683.21302201861</v>
      </c>
      <c r="P90" s="8">
        <f t="shared" ca="1" si="19"/>
        <v>190122.22024069747</v>
      </c>
      <c r="Q90" s="8">
        <f t="shared" ca="1" si="20"/>
        <v>47630.555060174374</v>
      </c>
      <c r="R90" s="13">
        <v>150000</v>
      </c>
      <c r="S90" s="13">
        <f ca="1">MIN(IF(AND(MONTH(A90)=5,'ÖNYP kalkulátor'!$IU$6="igen"),(M90+N90)*12/(1+IF('ÖNYP kalkulátor'!$C$16="nem",0,VLOOKUP(YEAR(A90),'ÖNYP kalkulátor'!$E$15:$J$75,4)))*0.2,0),R90)</f>
        <v>0</v>
      </c>
      <c r="T90" s="4">
        <f ca="1">(1+VLOOKUP(YEAR(A90),'ÖNYP kalkulátor'!$E$15:$F$75,2,FALSE)+VLOOKUP(YEAR(A90),'ÖNYP kalkulátor'!$E$15:$I$75,5,FALSE))^(1/12)-1</f>
        <v>4.0741237836483535E-3</v>
      </c>
      <c r="U90" s="8">
        <f t="shared" ca="1" si="15"/>
        <v>22724.172540828502</v>
      </c>
      <c r="V90" s="14">
        <f t="shared" ca="1" si="16"/>
        <v>5600407.5586060258</v>
      </c>
      <c r="W90" s="8">
        <f t="shared" ca="1" si="17"/>
        <v>4501777.0109528434</v>
      </c>
    </row>
    <row r="91" spans="1:23" x14ac:dyDescent="0.2">
      <c r="A91" s="6">
        <f t="shared" ca="1" si="21"/>
        <v>48335</v>
      </c>
      <c r="B91" s="12">
        <f t="shared" ca="1" si="22"/>
        <v>5</v>
      </c>
      <c r="C91" s="7">
        <f ca="1">(YEAR(A91)-YEAR('ÖNYP kalkulátor'!$C$10))+(MONTH(CF!A91)-MONTH('ÖNYP kalkulátor'!$C$10)-1)/12</f>
        <v>50.916666666666664</v>
      </c>
      <c r="D91" s="4">
        <f ca="1">(1+VLOOKUP(YEAR(A91),'ÖNYP kalkulátor'!$E$15:$F$75,2,FALSE))^(1/12)-1</f>
        <v>2.4662697723036864E-3</v>
      </c>
      <c r="E91" s="4">
        <f t="shared" ca="1" si="13"/>
        <v>1.2471118984394329</v>
      </c>
      <c r="F91" s="8">
        <f t="shared" ca="1" si="14"/>
        <v>5600407.5586060258</v>
      </c>
      <c r="G91" s="8">
        <v>10000</v>
      </c>
      <c r="H91" s="8">
        <v>250000</v>
      </c>
      <c r="I91" s="8">
        <v>500000</v>
      </c>
      <c r="J91" s="8">
        <v>750000</v>
      </c>
      <c r="K91" s="8"/>
      <c r="L91" s="4">
        <f ca="1">+IF('ÖNYP kalkulátor'!$C$16="nem",0,
IF(MONTH(A91)=1,VLOOKUP(YEAR(A91),'ÖNYP kalkulátor'!$E$15:$J$75,4),0))</f>
        <v>0</v>
      </c>
      <c r="M91" s="8">
        <f t="shared" ca="1" si="23"/>
        <v>38003.102441628485</v>
      </c>
      <c r="N91" s="8">
        <f t="shared" ca="1" si="24"/>
        <v>12667.700813876161</v>
      </c>
      <c r="O91" s="8">
        <f t="shared" ca="1" si="18"/>
        <v>253354.01627752327</v>
      </c>
      <c r="P91" s="8">
        <f t="shared" ca="1" si="19"/>
        <v>237786.3154636471</v>
      </c>
      <c r="Q91" s="8">
        <f t="shared" ca="1" si="20"/>
        <v>47664.095222949632</v>
      </c>
      <c r="R91" s="13">
        <v>150000</v>
      </c>
      <c r="S91" s="13">
        <f ca="1">MIN(IF(AND(MONTH(A91)=5,'ÖNYP kalkulátor'!$IU$6="igen"),(M91+N91)*12/(1+IF('ÖNYP kalkulátor'!$C$16="nem",0,VLOOKUP(YEAR(A91),'ÖNYP kalkulátor'!$E$15:$J$75,4)))*0.2,0),R91)</f>
        <v>118067.89108078752</v>
      </c>
      <c r="T91" s="4">
        <f ca="1">(1+VLOOKUP(YEAR(A91),'ÖNYP kalkulátor'!$E$15:$F$75,2,FALSE)+VLOOKUP(YEAR(A91),'ÖNYP kalkulátor'!$E$15:$I$75,5,FALSE))^(1/12)-1</f>
        <v>4.0741237836483535E-3</v>
      </c>
      <c r="U91" s="8">
        <f t="shared" ca="1" si="15"/>
        <v>23491.96625975216</v>
      </c>
      <c r="V91" s="14">
        <f t="shared" ca="1" si="16"/>
        <v>5789631.5111695156</v>
      </c>
      <c r="W91" s="8">
        <f t="shared" ca="1" si="17"/>
        <v>4642431.4597706441</v>
      </c>
    </row>
    <row r="92" spans="1:23" x14ac:dyDescent="0.2">
      <c r="A92" s="6">
        <f t="shared" ca="1" si="21"/>
        <v>48366</v>
      </c>
      <c r="B92" s="12">
        <f t="shared" ca="1" si="22"/>
        <v>6</v>
      </c>
      <c r="C92" s="7">
        <f ca="1">(YEAR(A92)-YEAR('ÖNYP kalkulátor'!$C$10))+(MONTH(CF!A92)-MONTH('ÖNYP kalkulátor'!$C$10)-1)/12</f>
        <v>51</v>
      </c>
      <c r="D92" s="4">
        <f ca="1">(1+VLOOKUP(YEAR(A92),'ÖNYP kalkulátor'!$E$15:$F$75,2,FALSE))^(1/12)-1</f>
        <v>2.4662697723036864E-3</v>
      </c>
      <c r="E92" s="4">
        <f t="shared" ca="1" si="13"/>
        <v>1.2501876128172345</v>
      </c>
      <c r="F92" s="8">
        <f t="shared" ca="1" si="14"/>
        <v>5789631.5111695156</v>
      </c>
      <c r="G92" s="8">
        <v>10000</v>
      </c>
      <c r="H92" s="8">
        <v>250000</v>
      </c>
      <c r="I92" s="8">
        <v>500000</v>
      </c>
      <c r="J92" s="8">
        <v>750000</v>
      </c>
      <c r="K92" s="8"/>
      <c r="L92" s="4">
        <f ca="1">+IF('ÖNYP kalkulátor'!$C$16="nem",0,
IF(MONTH(A92)=1,VLOOKUP(YEAR(A92),'ÖNYP kalkulátor'!$E$15:$J$75,4),0))</f>
        <v>0</v>
      </c>
      <c r="M92" s="8">
        <f t="shared" ca="1" si="23"/>
        <v>38003.102441628485</v>
      </c>
      <c r="N92" s="8">
        <f t="shared" ca="1" si="24"/>
        <v>12667.700813876161</v>
      </c>
      <c r="O92" s="8">
        <f t="shared" ca="1" si="18"/>
        <v>304024.81953302794</v>
      </c>
      <c r="P92" s="8">
        <f t="shared" ca="1" si="19"/>
        <v>285923.57855637651</v>
      </c>
      <c r="Q92" s="8">
        <f t="shared" ca="1" si="20"/>
        <v>48137.263092729409</v>
      </c>
      <c r="R92" s="13">
        <v>150000</v>
      </c>
      <c r="S92" s="13">
        <f ca="1">MIN(IF(AND(MONTH(A92)=5,'ÖNYP kalkulátor'!$IU$6="igen"),(M92+N92)*12/(1+IF('ÖNYP kalkulátor'!$C$16="nem",0,VLOOKUP(YEAR(A92),'ÖNYP kalkulátor'!$E$15:$J$75,4)))*0.2,0),R92)</f>
        <v>0</v>
      </c>
      <c r="T92" s="4">
        <f ca="1">(1+VLOOKUP(YEAR(A92),'ÖNYP kalkulátor'!$E$15:$F$75,2,FALSE)+VLOOKUP(YEAR(A92),'ÖNYP kalkulátor'!$E$15:$I$75,5,FALSE))^(1/12)-1</f>
        <v>4.0741237836483535E-3</v>
      </c>
      <c r="U92" s="8">
        <f t="shared" ca="1" si="15"/>
        <v>23783.792606661507</v>
      </c>
      <c r="V92" s="14">
        <f t="shared" ca="1" si="16"/>
        <v>5861552.5668689059</v>
      </c>
      <c r="W92" s="8">
        <f t="shared" ca="1" si="17"/>
        <v>4688538.3495843429</v>
      </c>
    </row>
    <row r="93" spans="1:23" x14ac:dyDescent="0.2">
      <c r="A93" s="6">
        <f t="shared" ca="1" si="21"/>
        <v>48396</v>
      </c>
      <c r="B93" s="12">
        <f t="shared" ca="1" si="22"/>
        <v>7</v>
      </c>
      <c r="C93" s="7">
        <f ca="1">(YEAR(A93)-YEAR('ÖNYP kalkulátor'!$C$10))+(MONTH(CF!A93)-MONTH('ÖNYP kalkulátor'!$C$10)-1)/12</f>
        <v>51.083333333333336</v>
      </c>
      <c r="D93" s="4">
        <f ca="1">(1+VLOOKUP(YEAR(A93),'ÖNYP kalkulátor'!$E$15:$F$75,2,FALSE))^(1/12)-1</f>
        <v>2.4662697723036864E-3</v>
      </c>
      <c r="E93" s="4">
        <f t="shared" ca="1" si="13"/>
        <v>1.2532709127364341</v>
      </c>
      <c r="F93" s="8">
        <f t="shared" ca="1" si="14"/>
        <v>5861552.5668689059</v>
      </c>
      <c r="G93" s="8">
        <v>10000</v>
      </c>
      <c r="H93" s="8">
        <v>250000</v>
      </c>
      <c r="I93" s="8">
        <v>500000</v>
      </c>
      <c r="J93" s="8">
        <v>750000</v>
      </c>
      <c r="K93" s="8"/>
      <c r="L93" s="4">
        <f ca="1">+IF('ÖNYP kalkulátor'!$C$16="nem",0,
IF(MONTH(A93)=1,VLOOKUP(YEAR(A93),'ÖNYP kalkulátor'!$E$15:$J$75,4),0))</f>
        <v>0</v>
      </c>
      <c r="M93" s="8">
        <f t="shared" ca="1" si="23"/>
        <v>38003.102441628485</v>
      </c>
      <c r="N93" s="8">
        <f t="shared" ca="1" si="24"/>
        <v>12667.700813876161</v>
      </c>
      <c r="O93" s="8">
        <f t="shared" ca="1" si="18"/>
        <v>354695.62278853258</v>
      </c>
      <c r="P93" s="8">
        <f t="shared" ca="1" si="19"/>
        <v>334060.84164910595</v>
      </c>
      <c r="Q93" s="8">
        <f t="shared" ca="1" si="20"/>
        <v>48137.263092729438</v>
      </c>
      <c r="R93" s="13">
        <v>150000</v>
      </c>
      <c r="S93" s="13">
        <f ca="1">MIN(IF(AND(MONTH(A93)=5,'ÖNYP kalkulátor'!$IU$6="igen"),(M93+N93)*12/(1+IF('ÖNYP kalkulátor'!$C$16="nem",0,VLOOKUP(YEAR(A93),'ÖNYP kalkulátor'!$E$15:$J$75,4)))*0.2,0),R93)</f>
        <v>0</v>
      </c>
      <c r="T93" s="4">
        <f ca="1">(1+VLOOKUP(YEAR(A93),'ÖNYP kalkulátor'!$E$15:$F$75,2,FALSE)+VLOOKUP(YEAR(A93),'ÖNYP kalkulátor'!$E$15:$I$75,5,FALSE))^(1/12)-1</f>
        <v>4.0741237836483535E-3</v>
      </c>
      <c r="U93" s="8">
        <f t="shared" ca="1" si="15"/>
        <v>24076.807890231492</v>
      </c>
      <c r="V93" s="14">
        <f t="shared" ca="1" si="16"/>
        <v>5933766.6378518669</v>
      </c>
      <c r="W93" s="8">
        <f t="shared" ca="1" si="17"/>
        <v>4734624.0765261836</v>
      </c>
    </row>
    <row r="94" spans="1:23" x14ac:dyDescent="0.2">
      <c r="A94" s="6">
        <f t="shared" ca="1" si="21"/>
        <v>48427</v>
      </c>
      <c r="B94" s="12">
        <f t="shared" ca="1" si="22"/>
        <v>8</v>
      </c>
      <c r="C94" s="7">
        <f ca="1">(YEAR(A94)-YEAR('ÖNYP kalkulátor'!$C$10))+(MONTH(CF!A94)-MONTH('ÖNYP kalkulátor'!$C$10)-1)/12</f>
        <v>51.166666666666664</v>
      </c>
      <c r="D94" s="4">
        <f ca="1">(1+VLOOKUP(YEAR(A94),'ÖNYP kalkulátor'!$E$15:$F$75,2,FALSE))^(1/12)-1</f>
        <v>2.4662697723036864E-3</v>
      </c>
      <c r="E94" s="4">
        <f t="shared" ca="1" si="13"/>
        <v>1.2563618169050235</v>
      </c>
      <c r="F94" s="8">
        <f t="shared" ca="1" si="14"/>
        <v>5933766.6378518669</v>
      </c>
      <c r="G94" s="8">
        <v>10000</v>
      </c>
      <c r="H94" s="8">
        <v>250000</v>
      </c>
      <c r="I94" s="8">
        <v>500000</v>
      </c>
      <c r="J94" s="8">
        <v>750000</v>
      </c>
      <c r="K94" s="8"/>
      <c r="L94" s="4">
        <f ca="1">+IF('ÖNYP kalkulátor'!$C$16="nem",0,
IF(MONTH(A94)=1,VLOOKUP(YEAR(A94),'ÖNYP kalkulátor'!$E$15:$J$75,4),0))</f>
        <v>0</v>
      </c>
      <c r="M94" s="8">
        <f t="shared" ca="1" si="23"/>
        <v>38003.102441628485</v>
      </c>
      <c r="N94" s="8">
        <f t="shared" ca="1" si="24"/>
        <v>12667.700813876161</v>
      </c>
      <c r="O94" s="8">
        <f t="shared" ca="1" si="18"/>
        <v>405366.42604403722</v>
      </c>
      <c r="P94" s="8">
        <f t="shared" ca="1" si="19"/>
        <v>382198.10474183538</v>
      </c>
      <c r="Q94" s="8">
        <f t="shared" ca="1" si="20"/>
        <v>48137.263092729438</v>
      </c>
      <c r="R94" s="13">
        <v>150000</v>
      </c>
      <c r="S94" s="13">
        <f ca="1">MIN(IF(AND(MONTH(A94)=5,'ÖNYP kalkulátor'!$IU$6="igen"),(M94+N94)*12/(1+IF('ÖNYP kalkulátor'!$C$16="nem",0,VLOOKUP(YEAR(A94),'ÖNYP kalkulátor'!$E$15:$J$75,4)))*0.2,0),R94)</f>
        <v>0</v>
      </c>
      <c r="T94" s="4">
        <f ca="1">(1+VLOOKUP(YEAR(A94),'ÖNYP kalkulátor'!$E$15:$F$75,2,FALSE)+VLOOKUP(YEAR(A94),'ÖNYP kalkulátor'!$E$15:$I$75,5,FALSE))^(1/12)-1</f>
        <v>4.0741237836483535E-3</v>
      </c>
      <c r="U94" s="8">
        <f t="shared" ca="1" si="15"/>
        <v>24371.016954337243</v>
      </c>
      <c r="V94" s="14">
        <f t="shared" ca="1" si="16"/>
        <v>6006274.9178989334</v>
      </c>
      <c r="W94" s="8">
        <f t="shared" ca="1" si="17"/>
        <v>4780688.8406518539</v>
      </c>
    </row>
    <row r="95" spans="1:23" x14ac:dyDescent="0.2">
      <c r="A95" s="6">
        <f t="shared" ca="1" si="21"/>
        <v>48458</v>
      </c>
      <c r="B95" s="12">
        <f t="shared" ca="1" si="22"/>
        <v>9</v>
      </c>
      <c r="C95" s="7">
        <f ca="1">(YEAR(A95)-YEAR('ÖNYP kalkulátor'!$C$10))+(MONTH(CF!A95)-MONTH('ÖNYP kalkulátor'!$C$10)-1)/12</f>
        <v>51.25</v>
      </c>
      <c r="D95" s="4">
        <f ca="1">(1+VLOOKUP(YEAR(A95),'ÖNYP kalkulátor'!$E$15:$F$75,2,FALSE))^(1/12)-1</f>
        <v>2.4662697723036864E-3</v>
      </c>
      <c r="E95" s="4">
        <f t="shared" ca="1" si="13"/>
        <v>1.2594603440771328</v>
      </c>
      <c r="F95" s="8">
        <f t="shared" ca="1" si="14"/>
        <v>6006274.9178989334</v>
      </c>
      <c r="G95" s="8">
        <v>10000</v>
      </c>
      <c r="H95" s="8">
        <v>250000</v>
      </c>
      <c r="I95" s="8">
        <v>500000</v>
      </c>
      <c r="J95" s="8">
        <v>750000</v>
      </c>
      <c r="K95" s="8"/>
      <c r="L95" s="4">
        <f ca="1">+IF('ÖNYP kalkulátor'!$C$16="nem",0,
IF(MONTH(A95)=1,VLOOKUP(YEAR(A95),'ÖNYP kalkulátor'!$E$15:$J$75,4),0))</f>
        <v>0</v>
      </c>
      <c r="M95" s="8">
        <f t="shared" ca="1" si="23"/>
        <v>38003.102441628485</v>
      </c>
      <c r="N95" s="8">
        <f t="shared" ca="1" si="24"/>
        <v>12667.700813876161</v>
      </c>
      <c r="O95" s="8">
        <f t="shared" ca="1" si="18"/>
        <v>456037.22929954185</v>
      </c>
      <c r="P95" s="8">
        <f t="shared" ca="1" si="19"/>
        <v>430335.36783456476</v>
      </c>
      <c r="Q95" s="8">
        <f t="shared" ca="1" si="20"/>
        <v>48137.263092729379</v>
      </c>
      <c r="R95" s="13">
        <v>150000</v>
      </c>
      <c r="S95" s="13">
        <f ca="1">MIN(IF(AND(MONTH(A95)=5,'ÖNYP kalkulátor'!$IU$6="igen"),(M95+N95)*12/(1+IF('ÖNYP kalkulátor'!$C$16="nem",0,VLOOKUP(YEAR(A95),'ÖNYP kalkulátor'!$E$15:$J$75,4)))*0.2,0),R95)</f>
        <v>0</v>
      </c>
      <c r="T95" s="4">
        <f ca="1">(1+VLOOKUP(YEAR(A95),'ÖNYP kalkulátor'!$E$15:$F$75,2,FALSE)+VLOOKUP(YEAR(A95),'ÖNYP kalkulátor'!$E$15:$I$75,5,FALSE))^(1/12)-1</f>
        <v>4.0741237836483535E-3</v>
      </c>
      <c r="U95" s="8">
        <f t="shared" ca="1" si="15"/>
        <v>24666.424662588433</v>
      </c>
      <c r="V95" s="14">
        <f t="shared" ca="1" si="16"/>
        <v>6079078.6056542508</v>
      </c>
      <c r="W95" s="8">
        <f t="shared" ca="1" si="17"/>
        <v>4826732.8417622261</v>
      </c>
    </row>
    <row r="96" spans="1:23" x14ac:dyDescent="0.2">
      <c r="A96" s="6">
        <f t="shared" ca="1" si="21"/>
        <v>48488</v>
      </c>
      <c r="B96" s="12">
        <f t="shared" ca="1" si="22"/>
        <v>10</v>
      </c>
      <c r="C96" s="7">
        <f ca="1">(YEAR(A96)-YEAR('ÖNYP kalkulátor'!$C$10))+(MONTH(CF!A96)-MONTH('ÖNYP kalkulátor'!$C$10)-1)/12</f>
        <v>51.333333333333336</v>
      </c>
      <c r="D96" s="4">
        <f ca="1">(1+VLOOKUP(YEAR(A96),'ÖNYP kalkulátor'!$E$15:$F$75,2,FALSE))^(1/12)-1</f>
        <v>2.4662697723036864E-3</v>
      </c>
      <c r="E96" s="4">
        <f t="shared" ca="1" si="13"/>
        <v>1.2625665130531454</v>
      </c>
      <c r="F96" s="8">
        <f t="shared" ca="1" si="14"/>
        <v>6079078.6056542508</v>
      </c>
      <c r="G96" s="8">
        <v>10000</v>
      </c>
      <c r="H96" s="8">
        <v>250000</v>
      </c>
      <c r="I96" s="8">
        <v>500000</v>
      </c>
      <c r="J96" s="8">
        <v>750000</v>
      </c>
      <c r="K96" s="8"/>
      <c r="L96" s="4">
        <f ca="1">+IF('ÖNYP kalkulátor'!$C$16="nem",0,
IF(MONTH(A96)=1,VLOOKUP(YEAR(A96),'ÖNYP kalkulátor'!$E$15:$J$75,4),0))</f>
        <v>0</v>
      </c>
      <c r="M96" s="8">
        <f t="shared" ca="1" si="23"/>
        <v>38003.102441628485</v>
      </c>
      <c r="N96" s="8">
        <f t="shared" ca="1" si="24"/>
        <v>12667.700813876161</v>
      </c>
      <c r="O96" s="8">
        <f t="shared" ca="1" si="18"/>
        <v>506708.03255504649</v>
      </c>
      <c r="P96" s="8">
        <f t="shared" ca="1" si="19"/>
        <v>478673.87190394558</v>
      </c>
      <c r="Q96" s="8">
        <f t="shared" ca="1" si="20"/>
        <v>48338.504069380811</v>
      </c>
      <c r="R96" s="13">
        <v>150000</v>
      </c>
      <c r="S96" s="13">
        <f ca="1">MIN(IF(AND(MONTH(A96)=5,'ÖNYP kalkulátor'!$IU$6="igen"),(M96+N96)*12/(1+IF('ÖNYP kalkulátor'!$C$16="nem",0,VLOOKUP(YEAR(A96),'ÖNYP kalkulátor'!$E$15:$J$75,4)))*0.2,0),R96)</f>
        <v>0</v>
      </c>
      <c r="T96" s="4">
        <f ca="1">(1+VLOOKUP(YEAR(A96),'ÖNYP kalkulátor'!$E$15:$F$75,2,FALSE)+VLOOKUP(YEAR(A96),'ÖNYP kalkulátor'!$E$15:$I$75,5,FALSE))^(1/12)-1</f>
        <v>4.0741237836483535E-3</v>
      </c>
      <c r="U96" s="8">
        <f t="shared" ca="1" si="15"/>
        <v>24963.8557790589</v>
      </c>
      <c r="V96" s="14">
        <f t="shared" ca="1" si="16"/>
        <v>6152380.9655026905</v>
      </c>
      <c r="W96" s="8">
        <f t="shared" ca="1" si="17"/>
        <v>4872916.3191766972</v>
      </c>
    </row>
    <row r="97" spans="1:23" x14ac:dyDescent="0.2">
      <c r="A97" s="6">
        <f t="shared" ca="1" si="21"/>
        <v>48519</v>
      </c>
      <c r="B97" s="12">
        <f t="shared" ca="1" si="22"/>
        <v>11</v>
      </c>
      <c r="C97" s="7">
        <f ca="1">(YEAR(A97)-YEAR('ÖNYP kalkulátor'!$C$10))+(MONTH(CF!A97)-MONTH('ÖNYP kalkulátor'!$C$10)-1)/12</f>
        <v>51.416666666666664</v>
      </c>
      <c r="D97" s="4">
        <f ca="1">(1+VLOOKUP(YEAR(A97),'ÖNYP kalkulátor'!$E$15:$F$75,2,FALSE))^(1/12)-1</f>
        <v>2.4662697723036864E-3</v>
      </c>
      <c r="E97" s="4">
        <f t="shared" ca="1" si="13"/>
        <v>1.2656803426798111</v>
      </c>
      <c r="F97" s="8">
        <f t="shared" ca="1" si="14"/>
        <v>6152380.9655026905</v>
      </c>
      <c r="G97" s="8">
        <v>10000</v>
      </c>
      <c r="H97" s="8">
        <v>250000</v>
      </c>
      <c r="I97" s="8">
        <v>500000</v>
      </c>
      <c r="J97" s="8">
        <v>750000</v>
      </c>
      <c r="K97" s="8"/>
      <c r="L97" s="4">
        <f ca="1">+IF('ÖNYP kalkulátor'!$C$16="nem",0,
IF(MONTH(A97)=1,VLOOKUP(YEAR(A97),'ÖNYP kalkulátor'!$E$15:$J$75,4),0))</f>
        <v>0</v>
      </c>
      <c r="M97" s="8">
        <f t="shared" ca="1" si="23"/>
        <v>38003.102441628485</v>
      </c>
      <c r="N97" s="8">
        <f t="shared" ca="1" si="24"/>
        <v>12667.700813876161</v>
      </c>
      <c r="O97" s="8">
        <f t="shared" ca="1" si="18"/>
        <v>557378.83581055107</v>
      </c>
      <c r="P97" s="8">
        <f t="shared" ca="1" si="19"/>
        <v>528331.25909434003</v>
      </c>
      <c r="Q97" s="8">
        <f t="shared" ca="1" si="20"/>
        <v>49657.387190394453</v>
      </c>
      <c r="R97" s="13">
        <v>150000</v>
      </c>
      <c r="S97" s="13">
        <f ca="1">MIN(IF(AND(MONTH(A97)=5,'ÖNYP kalkulátor'!$IU$6="igen"),(M97+N97)*12/(1+IF('ÖNYP kalkulátor'!$C$16="nem",0,VLOOKUP(YEAR(A97),'ÖNYP kalkulátor'!$E$15:$J$75,4)))*0.2,0),R97)</f>
        <v>0</v>
      </c>
      <c r="T97" s="4">
        <f ca="1">(1+VLOOKUP(YEAR(A97),'ÖNYP kalkulátor'!$E$15:$F$75,2,FALSE)+VLOOKUP(YEAR(A97),'ÖNYP kalkulátor'!$E$15:$I$75,5,FALSE))^(1/12)-1</f>
        <v>4.0741237836483535E-3</v>
      </c>
      <c r="U97" s="8">
        <f t="shared" ca="1" si="15"/>
        <v>25267.871959806151</v>
      </c>
      <c r="V97" s="14">
        <f t="shared" ca="1" si="16"/>
        <v>6227306.224652891</v>
      </c>
      <c r="W97" s="8">
        <f t="shared" ca="1" si="17"/>
        <v>4920125.5756788356</v>
      </c>
    </row>
    <row r="98" spans="1:23" x14ac:dyDescent="0.2">
      <c r="A98" s="6">
        <f t="shared" ca="1" si="21"/>
        <v>48549</v>
      </c>
      <c r="B98" s="12">
        <f t="shared" ca="1" si="22"/>
        <v>12</v>
      </c>
      <c r="C98" s="7">
        <f ca="1">(YEAR(A98)-YEAR('ÖNYP kalkulátor'!$C$10))+(MONTH(CF!A98)-MONTH('ÖNYP kalkulátor'!$C$10)-1)/12</f>
        <v>51.5</v>
      </c>
      <c r="D98" s="4">
        <f ca="1">(1+VLOOKUP(YEAR(A98),'ÖNYP kalkulátor'!$E$15:$F$75,2,FALSE))^(1/12)-1</f>
        <v>2.4662697723036864E-3</v>
      </c>
      <c r="E98" s="4">
        <f t="shared" ca="1" si="13"/>
        <v>1.2688018518503612</v>
      </c>
      <c r="F98" s="8">
        <f t="shared" ca="1" si="14"/>
        <v>6227306.224652891</v>
      </c>
      <c r="G98" s="8">
        <v>10000</v>
      </c>
      <c r="H98" s="8">
        <v>250000</v>
      </c>
      <c r="I98" s="8">
        <v>500000</v>
      </c>
      <c r="J98" s="8">
        <v>750000</v>
      </c>
      <c r="K98" s="8"/>
      <c r="L98" s="4">
        <f ca="1">+IF('ÖNYP kalkulátor'!$C$16="nem",0,
IF(MONTH(A98)=1,VLOOKUP(YEAR(A98),'ÖNYP kalkulátor'!$E$15:$J$75,4),0))</f>
        <v>0</v>
      </c>
      <c r="M98" s="8">
        <f t="shared" ca="1" si="23"/>
        <v>38003.102441628485</v>
      </c>
      <c r="N98" s="8">
        <f t="shared" ca="1" si="24"/>
        <v>12667.700813876161</v>
      </c>
      <c r="O98" s="8">
        <f t="shared" ca="1" si="18"/>
        <v>608049.63906605565</v>
      </c>
      <c r="P98" s="8">
        <f t="shared" ca="1" si="19"/>
        <v>577988.6462847346</v>
      </c>
      <c r="Q98" s="8">
        <f t="shared" ca="1" si="20"/>
        <v>49657.387190394569</v>
      </c>
      <c r="R98" s="13">
        <v>150000</v>
      </c>
      <c r="S98" s="13">
        <f ca="1">MIN(IF(AND(MONTH(A98)=5,'ÖNYP kalkulátor'!$IU$6="igen"),(M98+N98)*12/(1+IF('ÖNYP kalkulátor'!$C$16="nem",0,VLOOKUP(YEAR(A98),'ÖNYP kalkulátor'!$E$15:$J$75,4)))*0.2,0),R98)</f>
        <v>0</v>
      </c>
      <c r="T98" s="4">
        <f ca="1">(1+VLOOKUP(YEAR(A98),'ÖNYP kalkulátor'!$E$15:$F$75,2,FALSE)+VLOOKUP(YEAR(A98),'ÖNYP kalkulátor'!$E$15:$I$75,5,FALSE))^(1/12)-1</f>
        <v>4.0741237836483535E-3</v>
      </c>
      <c r="U98" s="8">
        <f t="shared" ca="1" si="15"/>
        <v>25573.126740106003</v>
      </c>
      <c r="V98" s="14">
        <f t="shared" ca="1" si="16"/>
        <v>6302536.7385833925</v>
      </c>
      <c r="W98" s="8">
        <f t="shared" ca="1" si="17"/>
        <v>4967313.6348217558</v>
      </c>
    </row>
    <row r="99" spans="1:23" x14ac:dyDescent="0.2">
      <c r="A99" s="6">
        <f t="shared" ca="1" si="21"/>
        <v>48580</v>
      </c>
      <c r="B99" s="12">
        <f t="shared" ca="1" si="22"/>
        <v>1</v>
      </c>
      <c r="C99" s="7">
        <f ca="1">(YEAR(A99)-YEAR('ÖNYP kalkulátor'!$C$10))+(MONTH(CF!A99)-MONTH('ÖNYP kalkulátor'!$C$10)-1)/12</f>
        <v>51.583333333333336</v>
      </c>
      <c r="D99" s="4">
        <f ca="1">(1+VLOOKUP(YEAR(A99),'ÖNYP kalkulátor'!$E$15:$F$75,2,FALSE))^(1/12)-1</f>
        <v>2.4662697723036864E-3</v>
      </c>
      <c r="E99" s="4">
        <f t="shared" ca="1" si="13"/>
        <v>1.2719310595046227</v>
      </c>
      <c r="F99" s="8">
        <f t="shared" ca="1" si="14"/>
        <v>6302536.7385833925</v>
      </c>
      <c r="G99" s="8">
        <v>10000</v>
      </c>
      <c r="H99" s="8">
        <v>250000</v>
      </c>
      <c r="I99" s="8">
        <v>500000</v>
      </c>
      <c r="J99" s="8">
        <v>750000</v>
      </c>
      <c r="K99" s="8"/>
      <c r="L99" s="4">
        <f ca="1">+IF('ÖNYP kalkulátor'!$C$16="nem",0,
IF(MONTH(A99)=1,VLOOKUP(YEAR(A99),'ÖNYP kalkulátor'!$E$15:$J$75,4),0))</f>
        <v>0.03</v>
      </c>
      <c r="M99" s="8">
        <f t="shared" ca="1" si="23"/>
        <v>39143.195514877341</v>
      </c>
      <c r="N99" s="8">
        <f t="shared" ca="1" si="24"/>
        <v>13047.731838292446</v>
      </c>
      <c r="O99" s="8">
        <f t="shared" ca="1" si="18"/>
        <v>52190.927353169784</v>
      </c>
      <c r="P99" s="8">
        <f t="shared" ca="1" si="19"/>
        <v>48659.471711979597</v>
      </c>
      <c r="Q99" s="8">
        <f t="shared" ca="1" si="20"/>
        <v>48659.471711979597</v>
      </c>
      <c r="R99" s="13">
        <v>150000</v>
      </c>
      <c r="S99" s="13">
        <f ca="1">MIN(IF(AND(MONTH(A99)=5,'ÖNYP kalkulátor'!$IU$6="igen"),(M99+N99)*12/(1+IF('ÖNYP kalkulátor'!$C$16="nem",0,VLOOKUP(YEAR(A99),'ÖNYP kalkulátor'!$E$15:$J$75,4)))*0.2,0),R99)</f>
        <v>0</v>
      </c>
      <c r="T99" s="4">
        <f ca="1">(1+VLOOKUP(YEAR(A99),'ÖNYP kalkulátor'!$E$15:$F$75,2,FALSE)+VLOOKUP(YEAR(A99),'ÖNYP kalkulátor'!$E$15:$I$75,5,FALSE))^(1/12)-1</f>
        <v>4.0741237836483535E-3</v>
      </c>
      <c r="U99" s="8">
        <f t="shared" ca="1" si="15"/>
        <v>25875.559534981665</v>
      </c>
      <c r="V99" s="14">
        <f t="shared" ca="1" si="16"/>
        <v>6377071.7698303536</v>
      </c>
      <c r="W99" s="8">
        <f t="shared" ca="1" si="17"/>
        <v>5013692.9373467956</v>
      </c>
    </row>
    <row r="100" spans="1:23" x14ac:dyDescent="0.2">
      <c r="A100" s="6">
        <f t="shared" ca="1" si="21"/>
        <v>48611</v>
      </c>
      <c r="B100" s="12">
        <f t="shared" ca="1" si="22"/>
        <v>2</v>
      </c>
      <c r="C100" s="7">
        <f ca="1">(YEAR(A100)-YEAR('ÖNYP kalkulátor'!$C$10))+(MONTH(CF!A100)-MONTH('ÖNYP kalkulátor'!$C$10)-1)/12</f>
        <v>51.666666666666664</v>
      </c>
      <c r="D100" s="4">
        <f ca="1">(1+VLOOKUP(YEAR(A100),'ÖNYP kalkulátor'!$E$15:$F$75,2,FALSE))^(1/12)-1</f>
        <v>2.4662697723036864E-3</v>
      </c>
      <c r="E100" s="4">
        <f t="shared" ca="1" si="13"/>
        <v>1.2750679846291331</v>
      </c>
      <c r="F100" s="8">
        <f t="shared" ca="1" si="14"/>
        <v>6377071.7698303536</v>
      </c>
      <c r="G100" s="8">
        <v>10000</v>
      </c>
      <c r="H100" s="8">
        <v>250000</v>
      </c>
      <c r="I100" s="8">
        <v>500000</v>
      </c>
      <c r="J100" s="8">
        <v>750000</v>
      </c>
      <c r="K100" s="8"/>
      <c r="L100" s="4">
        <f ca="1">+IF('ÖNYP kalkulátor'!$C$16="nem",0,
IF(MONTH(A100)=1,VLOOKUP(YEAR(A100),'ÖNYP kalkulátor'!$E$15:$J$75,4),0))</f>
        <v>0</v>
      </c>
      <c r="M100" s="8">
        <f t="shared" ca="1" si="23"/>
        <v>39143.195514877341</v>
      </c>
      <c r="N100" s="8">
        <f t="shared" ca="1" si="24"/>
        <v>13047.731838292446</v>
      </c>
      <c r="O100" s="8">
        <f t="shared" ca="1" si="18"/>
        <v>104381.85470633957</v>
      </c>
      <c r="P100" s="8">
        <f t="shared" ca="1" si="19"/>
        <v>97718.943423959194</v>
      </c>
      <c r="Q100" s="8">
        <f t="shared" ca="1" si="20"/>
        <v>49059.471711979597</v>
      </c>
      <c r="R100" s="13">
        <v>150000</v>
      </c>
      <c r="S100" s="13">
        <f ca="1">MIN(IF(AND(MONTH(A100)=5,'ÖNYP kalkulátor'!$IU$6="igen"),(M100+N100)*12/(1+IF('ÖNYP kalkulátor'!$C$16="nem",0,VLOOKUP(YEAR(A100),'ÖNYP kalkulátor'!$E$15:$J$75,4)))*0.2,0),R100)</f>
        <v>0</v>
      </c>
      <c r="T100" s="4">
        <f ca="1">(1+VLOOKUP(YEAR(A100),'ÖNYP kalkulátor'!$E$15:$F$75,2,FALSE)+VLOOKUP(YEAR(A100),'ÖNYP kalkulátor'!$E$15:$I$75,5,FALSE))^(1/12)-1</f>
        <v>4.0741237836483535E-3</v>
      </c>
      <c r="U100" s="8">
        <f t="shared" ca="1" si="15"/>
        <v>26180.85412801334</v>
      </c>
      <c r="V100" s="14">
        <f t="shared" ca="1" si="16"/>
        <v>6452312.0956703462</v>
      </c>
      <c r="W100" s="8">
        <f t="shared" ca="1" si="17"/>
        <v>5060367.1125403317</v>
      </c>
    </row>
    <row r="101" spans="1:23" x14ac:dyDescent="0.2">
      <c r="A101" s="6">
        <f t="shared" ca="1" si="21"/>
        <v>48639</v>
      </c>
      <c r="B101" s="12">
        <f t="shared" ca="1" si="22"/>
        <v>3</v>
      </c>
      <c r="C101" s="7">
        <f ca="1">(YEAR(A101)-YEAR('ÖNYP kalkulátor'!$C$10))+(MONTH(CF!A101)-MONTH('ÖNYP kalkulátor'!$C$10)-1)/12</f>
        <v>51.75</v>
      </c>
      <c r="D101" s="4">
        <f ca="1">(1+VLOOKUP(YEAR(A101),'ÖNYP kalkulátor'!$E$15:$F$75,2,FALSE))^(1/12)-1</f>
        <v>2.4662697723036864E-3</v>
      </c>
      <c r="E101" s="4">
        <f t="shared" ca="1" si="13"/>
        <v>1.2782126462572561</v>
      </c>
      <c r="F101" s="8">
        <f t="shared" ca="1" si="14"/>
        <v>6452312.0956703462</v>
      </c>
      <c r="G101" s="8">
        <v>10000</v>
      </c>
      <c r="H101" s="8">
        <v>250000</v>
      </c>
      <c r="I101" s="8">
        <v>500000</v>
      </c>
      <c r="J101" s="8">
        <v>750000</v>
      </c>
      <c r="K101" s="8"/>
      <c r="L101" s="4">
        <f ca="1">+IF('ÖNYP kalkulátor'!$C$16="nem",0,
IF(MONTH(A101)=1,VLOOKUP(YEAR(A101),'ÖNYP kalkulátor'!$E$15:$J$75,4),0))</f>
        <v>0</v>
      </c>
      <c r="M101" s="8">
        <f t="shared" ca="1" si="23"/>
        <v>39143.195514877341</v>
      </c>
      <c r="N101" s="8">
        <f t="shared" ca="1" si="24"/>
        <v>13047.731838292446</v>
      </c>
      <c r="O101" s="8">
        <f t="shared" ca="1" si="18"/>
        <v>156572.78205950937</v>
      </c>
      <c r="P101" s="8">
        <f t="shared" ca="1" si="19"/>
        <v>146778.41513593879</v>
      </c>
      <c r="Q101" s="8">
        <f t="shared" ca="1" si="20"/>
        <v>49059.471711979597</v>
      </c>
      <c r="R101" s="13">
        <v>150000</v>
      </c>
      <c r="S101" s="13">
        <f ca="1">MIN(IF(AND(MONTH(A101)=5,'ÖNYP kalkulátor'!$IU$6="igen"),(M101+N101)*12/(1+IF('ÖNYP kalkulátor'!$C$16="nem",0,VLOOKUP(YEAR(A101),'ÖNYP kalkulátor'!$E$15:$J$75,4)))*0.2,0),R101)</f>
        <v>0</v>
      </c>
      <c r="T101" s="4">
        <f ca="1">(1+VLOOKUP(YEAR(A101),'ÖNYP kalkulátor'!$E$15:$F$75,2,FALSE)+VLOOKUP(YEAR(A101),'ÖNYP kalkulátor'!$E$15:$I$75,5,FALSE))^(1/12)-1</f>
        <v>4.0741237836483535E-3</v>
      </c>
      <c r="U101" s="8">
        <f t="shared" ca="1" si="15"/>
        <v>26487.392529007506</v>
      </c>
      <c r="V101" s="14">
        <f t="shared" ca="1" si="16"/>
        <v>6527858.9599113325</v>
      </c>
      <c r="W101" s="8">
        <f t="shared" ca="1" si="17"/>
        <v>5107021.1040593321</v>
      </c>
    </row>
    <row r="102" spans="1:23" x14ac:dyDescent="0.2">
      <c r="A102" s="6">
        <f t="shared" ca="1" si="21"/>
        <v>48670</v>
      </c>
      <c r="B102" s="12">
        <f t="shared" ca="1" si="22"/>
        <v>4</v>
      </c>
      <c r="C102" s="7">
        <f ca="1">(YEAR(A102)-YEAR('ÖNYP kalkulátor'!$C$10))+(MONTH(CF!A102)-MONTH('ÖNYP kalkulátor'!$C$10)-1)/12</f>
        <v>51.833333333333336</v>
      </c>
      <c r="D102" s="4">
        <f ca="1">(1+VLOOKUP(YEAR(A102),'ÖNYP kalkulátor'!$E$15:$F$75,2,FALSE))^(1/12)-1</f>
        <v>2.4662697723036864E-3</v>
      </c>
      <c r="E102" s="4">
        <f t="shared" ca="1" si="13"/>
        <v>1.2813650634692966</v>
      </c>
      <c r="F102" s="8">
        <f t="shared" ca="1" si="14"/>
        <v>6527858.9599113325</v>
      </c>
      <c r="G102" s="8">
        <v>10000</v>
      </c>
      <c r="H102" s="8">
        <v>250000</v>
      </c>
      <c r="I102" s="8">
        <v>500000</v>
      </c>
      <c r="J102" s="8">
        <v>750000</v>
      </c>
      <c r="K102" s="8"/>
      <c r="L102" s="4">
        <f ca="1">+IF('ÖNYP kalkulátor'!$C$16="nem",0,
IF(MONTH(A102)=1,VLOOKUP(YEAR(A102),'ÖNYP kalkulátor'!$E$15:$J$75,4),0))</f>
        <v>0</v>
      </c>
      <c r="M102" s="8">
        <f t="shared" ca="1" si="23"/>
        <v>39143.195514877341</v>
      </c>
      <c r="N102" s="8">
        <f t="shared" ca="1" si="24"/>
        <v>13047.731838292446</v>
      </c>
      <c r="O102" s="8">
        <f t="shared" ca="1" si="18"/>
        <v>208763.70941267913</v>
      </c>
      <c r="P102" s="8">
        <f t="shared" ca="1" si="19"/>
        <v>195837.88684791839</v>
      </c>
      <c r="Q102" s="8">
        <f t="shared" ca="1" si="20"/>
        <v>49059.471711979597</v>
      </c>
      <c r="R102" s="13">
        <v>150000</v>
      </c>
      <c r="S102" s="13">
        <f ca="1">MIN(IF(AND(MONTH(A102)=5,'ÖNYP kalkulátor'!$IU$6="igen"),(M102+N102)*12/(1+IF('ÖNYP kalkulátor'!$C$16="nem",0,VLOOKUP(YEAR(A102),'ÖNYP kalkulátor'!$E$15:$J$75,4)))*0.2,0),R102)</f>
        <v>0</v>
      </c>
      <c r="T102" s="4">
        <f ca="1">(1+VLOOKUP(YEAR(A102),'ÖNYP kalkulátor'!$E$15:$F$75,2,FALSE)+VLOOKUP(YEAR(A102),'ÖNYP kalkulátor'!$E$15:$I$75,5,FALSE))^(1/12)-1</f>
        <v>4.0741237836483535E-3</v>
      </c>
      <c r="U102" s="8">
        <f t="shared" ca="1" si="15"/>
        <v>26795.179805391763</v>
      </c>
      <c r="V102" s="14">
        <f t="shared" ca="1" si="16"/>
        <v>6603713.6114287032</v>
      </c>
      <c r="W102" s="8">
        <f t="shared" ca="1" si="17"/>
        <v>5153655.113359455</v>
      </c>
    </row>
    <row r="103" spans="1:23" x14ac:dyDescent="0.2">
      <c r="A103" s="6">
        <f t="shared" ca="1" si="21"/>
        <v>48700</v>
      </c>
      <c r="B103" s="12">
        <f t="shared" ca="1" si="22"/>
        <v>5</v>
      </c>
      <c r="C103" s="7">
        <f ca="1">(YEAR(A103)-YEAR('ÖNYP kalkulátor'!$C$10))+(MONTH(CF!A103)-MONTH('ÖNYP kalkulátor'!$C$10)-1)/12</f>
        <v>51.916666666666664</v>
      </c>
      <c r="D103" s="4">
        <f ca="1">(1+VLOOKUP(YEAR(A103),'ÖNYP kalkulátor'!$E$15:$F$75,2,FALSE))^(1/12)-1</f>
        <v>2.4662697723036864E-3</v>
      </c>
      <c r="E103" s="4">
        <f t="shared" ref="E103:E166" ca="1" si="25">E102*(1+D102)</f>
        <v>1.284525255392617</v>
      </c>
      <c r="F103" s="8">
        <f t="shared" ref="F103:F166" ca="1" si="26">+V102</f>
        <v>6603713.6114287032</v>
      </c>
      <c r="G103" s="8">
        <v>10000</v>
      </c>
      <c r="H103" s="8">
        <v>250000</v>
      </c>
      <c r="I103" s="8">
        <v>500000</v>
      </c>
      <c r="J103" s="8">
        <v>750000</v>
      </c>
      <c r="K103" s="8"/>
      <c r="L103" s="4">
        <f ca="1">+IF('ÖNYP kalkulátor'!$C$16="nem",0,
IF(MONTH(A103)=1,VLOOKUP(YEAR(A103),'ÖNYP kalkulátor'!$E$15:$J$75,4),0))</f>
        <v>0</v>
      </c>
      <c r="M103" s="8">
        <f t="shared" ca="1" si="23"/>
        <v>39143.195514877341</v>
      </c>
      <c r="N103" s="8">
        <f t="shared" ca="1" si="24"/>
        <v>13047.731838292446</v>
      </c>
      <c r="O103" s="8">
        <f t="shared" ca="1" si="18"/>
        <v>260954.6367658489</v>
      </c>
      <c r="P103" s="8">
        <f t="shared" ca="1" si="19"/>
        <v>245006.90492755646</v>
      </c>
      <c r="Q103" s="8">
        <f t="shared" ca="1" si="20"/>
        <v>49169.018079638074</v>
      </c>
      <c r="R103" s="13">
        <v>150000</v>
      </c>
      <c r="S103" s="13">
        <f ca="1">MIN(IF(AND(MONTH(A103)=5,'ÖNYP kalkulátor'!$IU$6="igen"),(M103+N103)*12/(1+IF('ÖNYP kalkulátor'!$C$16="nem",0,VLOOKUP(YEAR(A103),'ÖNYP kalkulátor'!$E$15:$J$75,4)))*0.2,0),R103)</f>
        <v>121609.92781321116</v>
      </c>
      <c r="T103" s="4">
        <f ca="1">(1+VLOOKUP(YEAR(A103),'ÖNYP kalkulátor'!$E$15:$F$75,2,FALSE)+VLOOKUP(YEAR(A103),'ÖNYP kalkulátor'!$E$15:$I$75,5,FALSE))^(1/12)-1</f>
        <v>4.0741237836483535E-3</v>
      </c>
      <c r="U103" s="8">
        <f t="shared" ca="1" si="15"/>
        <v>27600.121249932497</v>
      </c>
      <c r="V103" s="14">
        <f t="shared" ca="1" si="16"/>
        <v>6802092.6785714859</v>
      </c>
      <c r="W103" s="8">
        <f t="shared" ca="1" si="17"/>
        <v>5295413.7336072978</v>
      </c>
    </row>
    <row r="104" spans="1:23" x14ac:dyDescent="0.2">
      <c r="A104" s="6">
        <f t="shared" ca="1" si="21"/>
        <v>48731</v>
      </c>
      <c r="B104" s="12">
        <f t="shared" ca="1" si="22"/>
        <v>6</v>
      </c>
      <c r="C104" s="7">
        <f ca="1">(YEAR(A104)-YEAR('ÖNYP kalkulátor'!$C$10))+(MONTH(CF!A104)-MONTH('ÖNYP kalkulátor'!$C$10)-1)/12</f>
        <v>52</v>
      </c>
      <c r="D104" s="4">
        <f ca="1">(1+VLOOKUP(YEAR(A104),'ÖNYP kalkulátor'!$E$15:$F$75,2,FALSE))^(1/12)-1</f>
        <v>2.4662697723036864E-3</v>
      </c>
      <c r="E104" s="4">
        <f t="shared" ca="1" si="25"/>
        <v>1.2876932412017525</v>
      </c>
      <c r="F104" s="8">
        <f t="shared" ca="1" si="26"/>
        <v>6802092.6785714859</v>
      </c>
      <c r="G104" s="8">
        <v>10000</v>
      </c>
      <c r="H104" s="8">
        <v>250000</v>
      </c>
      <c r="I104" s="8">
        <v>500000</v>
      </c>
      <c r="J104" s="8">
        <v>750000</v>
      </c>
      <c r="K104" s="8"/>
      <c r="L104" s="4">
        <f ca="1">+IF('ÖNYP kalkulátor'!$C$16="nem",0,
IF(MONTH(A104)=1,VLOOKUP(YEAR(A104),'ÖNYP kalkulátor'!$E$15:$J$75,4),0))</f>
        <v>0</v>
      </c>
      <c r="M104" s="8">
        <f t="shared" ca="1" si="23"/>
        <v>39143.195514877341</v>
      </c>
      <c r="N104" s="8">
        <f t="shared" ca="1" si="24"/>
        <v>13047.731838292446</v>
      </c>
      <c r="O104" s="8">
        <f t="shared" ca="1" si="18"/>
        <v>313145.56411901867</v>
      </c>
      <c r="P104" s="8">
        <f t="shared" ca="1" si="19"/>
        <v>294588.28591306775</v>
      </c>
      <c r="Q104" s="8">
        <f t="shared" ca="1" si="20"/>
        <v>49581.380985511292</v>
      </c>
      <c r="R104" s="13">
        <v>150000</v>
      </c>
      <c r="S104" s="13">
        <f ca="1">MIN(IF(AND(MONTH(A104)=5,'ÖNYP kalkulátor'!$IU$6="igen"),(M104+N104)*12/(1+IF('ÖNYP kalkulátor'!$C$16="nem",0,VLOOKUP(YEAR(A104),'ÖNYP kalkulátor'!$E$15:$J$75,4)))*0.2,0),R104)</f>
        <v>0</v>
      </c>
      <c r="T104" s="4">
        <f ca="1">(1+VLOOKUP(YEAR(A104),'ÖNYP kalkulátor'!$E$15:$F$75,2,FALSE)+VLOOKUP(YEAR(A104),'ÖNYP kalkulátor'!$E$15:$I$75,5,FALSE))^(1/12)-1</f>
        <v>4.0741237836483535E-3</v>
      </c>
      <c r="U104" s="8">
        <f t="shared" ca="1" si="15"/>
        <v>27914.568243847629</v>
      </c>
      <c r="V104" s="14">
        <f t="shared" ca="1" si="16"/>
        <v>6879588.6278008446</v>
      </c>
      <c r="W104" s="8">
        <f t="shared" ca="1" si="17"/>
        <v>5342567.9406225663</v>
      </c>
    </row>
    <row r="105" spans="1:23" x14ac:dyDescent="0.2">
      <c r="A105" s="6">
        <f t="shared" ca="1" si="21"/>
        <v>48761</v>
      </c>
      <c r="B105" s="12">
        <f t="shared" ca="1" si="22"/>
        <v>7</v>
      </c>
      <c r="C105" s="7">
        <f ca="1">(YEAR(A105)-YEAR('ÖNYP kalkulátor'!$C$10))+(MONTH(CF!A105)-MONTH('ÖNYP kalkulátor'!$C$10)-1)/12</f>
        <v>52.083333333333336</v>
      </c>
      <c r="D105" s="4">
        <f ca="1">(1+VLOOKUP(YEAR(A105),'ÖNYP kalkulátor'!$E$15:$F$75,2,FALSE))^(1/12)-1</f>
        <v>2.4662697723036864E-3</v>
      </c>
      <c r="E105" s="4">
        <f t="shared" ca="1" si="25"/>
        <v>1.2908690401185281</v>
      </c>
      <c r="F105" s="8">
        <f t="shared" ca="1" si="26"/>
        <v>6879588.6278008446</v>
      </c>
      <c r="G105" s="8">
        <v>10000</v>
      </c>
      <c r="H105" s="8">
        <v>250000</v>
      </c>
      <c r="I105" s="8">
        <v>500000</v>
      </c>
      <c r="J105" s="8">
        <v>750000</v>
      </c>
      <c r="K105" s="8"/>
      <c r="L105" s="4">
        <f ca="1">+IF('ÖNYP kalkulátor'!$C$16="nem",0,
IF(MONTH(A105)=1,VLOOKUP(YEAR(A105),'ÖNYP kalkulátor'!$E$15:$J$75,4),0))</f>
        <v>0</v>
      </c>
      <c r="M105" s="8">
        <f t="shared" ca="1" si="23"/>
        <v>39143.195514877341</v>
      </c>
      <c r="N105" s="8">
        <f t="shared" ca="1" si="24"/>
        <v>13047.731838292446</v>
      </c>
      <c r="O105" s="8">
        <f t="shared" ca="1" si="18"/>
        <v>365336.49147218844</v>
      </c>
      <c r="P105" s="8">
        <f t="shared" ca="1" si="19"/>
        <v>344169.66689857899</v>
      </c>
      <c r="Q105" s="8">
        <f t="shared" ca="1" si="20"/>
        <v>49581.380985511234</v>
      </c>
      <c r="R105" s="13">
        <v>150000</v>
      </c>
      <c r="S105" s="13">
        <f ca="1">MIN(IF(AND(MONTH(A105)=5,'ÖNYP kalkulátor'!$IU$6="igen"),(M105+N105)*12/(1+IF('ÖNYP kalkulátor'!$C$16="nem",0,VLOOKUP(YEAR(A105),'ÖNYP kalkulátor'!$E$15:$J$75,4)))*0.2,0),R105)</f>
        <v>0</v>
      </c>
      <c r="T105" s="4">
        <f ca="1">(1+VLOOKUP(YEAR(A105),'ÖNYP kalkulátor'!$E$15:$F$75,2,FALSE)+VLOOKUP(YEAR(A105),'ÖNYP kalkulátor'!$E$15:$I$75,5,FALSE))^(1/12)-1</f>
        <v>4.0741237836483535E-3</v>
      </c>
      <c r="U105" s="8">
        <f t="shared" ca="1" si="15"/>
        <v>28230.296333739363</v>
      </c>
      <c r="V105" s="14">
        <f t="shared" ca="1" si="16"/>
        <v>6957400.3051200956</v>
      </c>
      <c r="W105" s="8">
        <f t="shared" ca="1" si="17"/>
        <v>5389702.6645563245</v>
      </c>
    </row>
    <row r="106" spans="1:23" x14ac:dyDescent="0.2">
      <c r="A106" s="6">
        <f t="shared" ca="1" si="21"/>
        <v>48792</v>
      </c>
      <c r="B106" s="12">
        <f t="shared" ca="1" si="22"/>
        <v>8</v>
      </c>
      <c r="C106" s="7">
        <f ca="1">(YEAR(A106)-YEAR('ÖNYP kalkulátor'!$C$10))+(MONTH(CF!A106)-MONTH('ÖNYP kalkulátor'!$C$10)-1)/12</f>
        <v>52.166666666666664</v>
      </c>
      <c r="D106" s="4">
        <f ca="1">(1+VLOOKUP(YEAR(A106),'ÖNYP kalkulátor'!$E$15:$F$75,2,FALSE))^(1/12)-1</f>
        <v>2.4662697723036864E-3</v>
      </c>
      <c r="E106" s="4">
        <f t="shared" ca="1" si="25"/>
        <v>1.2940526714121752</v>
      </c>
      <c r="F106" s="8">
        <f t="shared" ca="1" si="26"/>
        <v>6957400.3051200956</v>
      </c>
      <c r="G106" s="8">
        <v>10000</v>
      </c>
      <c r="H106" s="8">
        <v>250000</v>
      </c>
      <c r="I106" s="8">
        <v>500000</v>
      </c>
      <c r="J106" s="8">
        <v>750000</v>
      </c>
      <c r="K106" s="8"/>
      <c r="L106" s="4">
        <f ca="1">+IF('ÖNYP kalkulátor'!$C$16="nem",0,
IF(MONTH(A106)=1,VLOOKUP(YEAR(A106),'ÖNYP kalkulátor'!$E$15:$J$75,4),0))</f>
        <v>0</v>
      </c>
      <c r="M106" s="8">
        <f t="shared" ca="1" si="23"/>
        <v>39143.195514877341</v>
      </c>
      <c r="N106" s="8">
        <f t="shared" ca="1" si="24"/>
        <v>13047.731838292446</v>
      </c>
      <c r="O106" s="8">
        <f t="shared" ca="1" si="18"/>
        <v>417527.41882535821</v>
      </c>
      <c r="P106" s="8">
        <f t="shared" ca="1" si="19"/>
        <v>393751.04788409028</v>
      </c>
      <c r="Q106" s="8">
        <f t="shared" ca="1" si="20"/>
        <v>49581.380985511292</v>
      </c>
      <c r="R106" s="13">
        <v>150000</v>
      </c>
      <c r="S106" s="13">
        <f ca="1">MIN(IF(AND(MONTH(A106)=5,'ÖNYP kalkulátor'!$IU$6="igen"),(M106+N106)*12/(1+IF('ÖNYP kalkulátor'!$C$16="nem",0,VLOOKUP(YEAR(A106),'ÖNYP kalkulátor'!$E$15:$J$75,4)))*0.2,0),R106)</f>
        <v>0</v>
      </c>
      <c r="T106" s="4">
        <f ca="1">(1+VLOOKUP(YEAR(A106),'ÖNYP kalkulátor'!$E$15:$F$75,2,FALSE)+VLOOKUP(YEAR(A106),'ÖNYP kalkulátor'!$E$15:$I$75,5,FALSE))^(1/12)-1</f>
        <v>4.0741237836483535E-3</v>
      </c>
      <c r="U106" s="8">
        <f t="shared" ca="1" si="15"/>
        <v>28547.310738951295</v>
      </c>
      <c r="V106" s="14">
        <f t="shared" ca="1" si="16"/>
        <v>7035528.996844558</v>
      </c>
      <c r="W106" s="8">
        <f t="shared" ca="1" si="17"/>
        <v>5436818.1081584711</v>
      </c>
    </row>
    <row r="107" spans="1:23" x14ac:dyDescent="0.2">
      <c r="A107" s="6">
        <f t="shared" ca="1" si="21"/>
        <v>48823</v>
      </c>
      <c r="B107" s="12">
        <f t="shared" ca="1" si="22"/>
        <v>9</v>
      </c>
      <c r="C107" s="7">
        <f ca="1">(YEAR(A107)-YEAR('ÖNYP kalkulátor'!$C$10))+(MONTH(CF!A107)-MONTH('ÖNYP kalkulátor'!$C$10)-1)/12</f>
        <v>52.25</v>
      </c>
      <c r="D107" s="4">
        <f ca="1">(1+VLOOKUP(YEAR(A107),'ÖNYP kalkulátor'!$E$15:$F$75,2,FALSE))^(1/12)-1</f>
        <v>2.4662697723036864E-3</v>
      </c>
      <c r="E107" s="4">
        <f t="shared" ca="1" si="25"/>
        <v>1.297244154399448</v>
      </c>
      <c r="F107" s="8">
        <f t="shared" ca="1" si="26"/>
        <v>7035528.996844558</v>
      </c>
      <c r="G107" s="8">
        <v>10000</v>
      </c>
      <c r="H107" s="8">
        <v>250000</v>
      </c>
      <c r="I107" s="8">
        <v>500000</v>
      </c>
      <c r="J107" s="8">
        <v>750000</v>
      </c>
      <c r="K107" s="8"/>
      <c r="L107" s="4">
        <f ca="1">+IF('ÖNYP kalkulátor'!$C$16="nem",0,
IF(MONTH(A107)=1,VLOOKUP(YEAR(A107),'ÖNYP kalkulátor'!$E$15:$J$75,4),0))</f>
        <v>0</v>
      </c>
      <c r="M107" s="8">
        <f t="shared" ca="1" si="23"/>
        <v>39143.195514877341</v>
      </c>
      <c r="N107" s="8">
        <f t="shared" ca="1" si="24"/>
        <v>13047.731838292446</v>
      </c>
      <c r="O107" s="8">
        <f t="shared" ca="1" si="18"/>
        <v>469718.34617852798</v>
      </c>
      <c r="P107" s="8">
        <f t="shared" ca="1" si="19"/>
        <v>443332.42886960157</v>
      </c>
      <c r="Q107" s="8">
        <f t="shared" ca="1" si="20"/>
        <v>49581.380985511292</v>
      </c>
      <c r="R107" s="13">
        <v>150000</v>
      </c>
      <c r="S107" s="13">
        <f ca="1">MIN(IF(AND(MONTH(A107)=5,'ÖNYP kalkulátor'!$IU$6="igen"),(M107+N107)*12/(1+IF('ÖNYP kalkulátor'!$C$16="nem",0,VLOOKUP(YEAR(A107),'ÖNYP kalkulátor'!$E$15:$J$75,4)))*0.2,0),R107)</f>
        <v>0</v>
      </c>
      <c r="T107" s="4">
        <f ca="1">(1+VLOOKUP(YEAR(A107),'ÖNYP kalkulátor'!$E$15:$F$75,2,FALSE)+VLOOKUP(YEAR(A107),'ÖNYP kalkulátor'!$E$15:$I$75,5,FALSE))^(1/12)-1</f>
        <v>4.0741237836483535E-3</v>
      </c>
      <c r="U107" s="8">
        <f t="shared" ca="1" si="15"/>
        <v>28865.616700091257</v>
      </c>
      <c r="V107" s="14">
        <f t="shared" ca="1" si="16"/>
        <v>7113975.9945301609</v>
      </c>
      <c r="W107" s="8">
        <f t="shared" ca="1" si="17"/>
        <v>5483914.4739284152</v>
      </c>
    </row>
    <row r="108" spans="1:23" x14ac:dyDescent="0.2">
      <c r="A108" s="6">
        <f t="shared" ca="1" si="21"/>
        <v>48853</v>
      </c>
      <c r="B108" s="12">
        <f t="shared" ca="1" si="22"/>
        <v>10</v>
      </c>
      <c r="C108" s="7">
        <f ca="1">(YEAR(A108)-YEAR('ÖNYP kalkulátor'!$C$10))+(MONTH(CF!A108)-MONTH('ÖNYP kalkulátor'!$C$10)-1)/12</f>
        <v>52.333333333333336</v>
      </c>
      <c r="D108" s="4">
        <f ca="1">(1+VLOOKUP(YEAR(A108),'ÖNYP kalkulátor'!$E$15:$F$75,2,FALSE))^(1/12)-1</f>
        <v>2.4662697723036864E-3</v>
      </c>
      <c r="E108" s="4">
        <f t="shared" ca="1" si="25"/>
        <v>1.300443508444741</v>
      </c>
      <c r="F108" s="8">
        <f t="shared" ca="1" si="26"/>
        <v>7113975.9945301609</v>
      </c>
      <c r="G108" s="8">
        <v>10000</v>
      </c>
      <c r="H108" s="8">
        <v>250000</v>
      </c>
      <c r="I108" s="8">
        <v>500000</v>
      </c>
      <c r="J108" s="8">
        <v>750000</v>
      </c>
      <c r="K108" s="8"/>
      <c r="L108" s="4">
        <f ca="1">+IF('ÖNYP kalkulátor'!$C$16="nem",0,
IF(MONTH(A108)=1,VLOOKUP(YEAR(A108),'ÖNYP kalkulátor'!$E$15:$J$75,4),0))</f>
        <v>0</v>
      </c>
      <c r="M108" s="8">
        <f t="shared" ca="1" si="23"/>
        <v>39143.195514877341</v>
      </c>
      <c r="N108" s="8">
        <f t="shared" ca="1" si="24"/>
        <v>13047.731838292446</v>
      </c>
      <c r="O108" s="8">
        <f t="shared" ca="1" si="18"/>
        <v>521909.27353169775</v>
      </c>
      <c r="P108" s="8">
        <f t="shared" ca="1" si="19"/>
        <v>493571.08806106378</v>
      </c>
      <c r="Q108" s="8">
        <f t="shared" ca="1" si="20"/>
        <v>50238.659191462211</v>
      </c>
      <c r="R108" s="13">
        <v>150000</v>
      </c>
      <c r="S108" s="13">
        <f ca="1">MIN(IF(AND(MONTH(A108)=5,'ÖNYP kalkulátor'!$IU$6="igen"),(M108+N108)*12/(1+IF('ÖNYP kalkulátor'!$C$16="nem",0,VLOOKUP(YEAR(A108),'ÖNYP kalkulátor'!$E$15:$J$75,4)))*0.2,0),R108)</f>
        <v>0</v>
      </c>
      <c r="T108" s="4">
        <f ca="1">(1+VLOOKUP(YEAR(A108),'ÖNYP kalkulátor'!$E$15:$F$75,2,FALSE)+VLOOKUP(YEAR(A108),'ÖNYP kalkulátor'!$E$15:$I$75,5,FALSE))^(1/12)-1</f>
        <v>4.0741237836483535E-3</v>
      </c>
      <c r="U108" s="8">
        <f t="shared" ca="1" si="15"/>
        <v>29187.897311889319</v>
      </c>
      <c r="V108" s="14">
        <f t="shared" ca="1" si="16"/>
        <v>7193402.5510335127</v>
      </c>
      <c r="W108" s="8">
        <f t="shared" ca="1" si="17"/>
        <v>5531499.4494735319</v>
      </c>
    </row>
    <row r="109" spans="1:23" x14ac:dyDescent="0.2">
      <c r="A109" s="6">
        <f t="shared" ca="1" si="21"/>
        <v>48884</v>
      </c>
      <c r="B109" s="12">
        <f t="shared" ca="1" si="22"/>
        <v>11</v>
      </c>
      <c r="C109" s="7">
        <f ca="1">(YEAR(A109)-YEAR('ÖNYP kalkulátor'!$C$10))+(MONTH(CF!A109)-MONTH('ÖNYP kalkulátor'!$C$10)-1)/12</f>
        <v>52.416666666666664</v>
      </c>
      <c r="D109" s="4">
        <f ca="1">(1+VLOOKUP(YEAR(A109),'ÖNYP kalkulátor'!$E$15:$F$75,2,FALSE))^(1/12)-1</f>
        <v>2.4662697723036864E-3</v>
      </c>
      <c r="E109" s="4">
        <f t="shared" ca="1" si="25"/>
        <v>1.3036507529602068</v>
      </c>
      <c r="F109" s="8">
        <f t="shared" ca="1" si="26"/>
        <v>7193402.5510335127</v>
      </c>
      <c r="G109" s="8">
        <v>10000</v>
      </c>
      <c r="H109" s="8">
        <v>250000</v>
      </c>
      <c r="I109" s="8">
        <v>500000</v>
      </c>
      <c r="J109" s="8">
        <v>750000</v>
      </c>
      <c r="K109" s="8"/>
      <c r="L109" s="4">
        <f ca="1">+IF('ÖNYP kalkulátor'!$C$16="nem",0,
IF(MONTH(A109)=1,VLOOKUP(YEAR(A109),'ÖNYP kalkulátor'!$E$15:$J$75,4),0))</f>
        <v>0</v>
      </c>
      <c r="M109" s="8">
        <f t="shared" ca="1" si="23"/>
        <v>39143.195514877341</v>
      </c>
      <c r="N109" s="8">
        <f t="shared" ca="1" si="24"/>
        <v>13047.731838292446</v>
      </c>
      <c r="O109" s="8">
        <f t="shared" ca="1" si="18"/>
        <v>574100.20088486758</v>
      </c>
      <c r="P109" s="8">
        <f t="shared" ca="1" si="19"/>
        <v>544718.19686717028</v>
      </c>
      <c r="Q109" s="8">
        <f t="shared" ca="1" si="20"/>
        <v>51147.108806106495</v>
      </c>
      <c r="R109" s="13">
        <v>150000</v>
      </c>
      <c r="S109" s="13">
        <f ca="1">MIN(IF(AND(MONTH(A109)=5,'ÖNYP kalkulátor'!$IU$6="igen"),(M109+N109)*12/(1+IF('ÖNYP kalkulátor'!$C$16="nem",0,VLOOKUP(YEAR(A109),'ÖNYP kalkulátor'!$E$15:$J$75,4)))*0.2,0),R109)</f>
        <v>0</v>
      </c>
      <c r="T109" s="4">
        <f ca="1">(1+VLOOKUP(YEAR(A109),'ÖNYP kalkulátor'!$E$15:$F$75,2,FALSE)+VLOOKUP(YEAR(A109),'ÖNYP kalkulátor'!$E$15:$I$75,5,FALSE))^(1/12)-1</f>
        <v>4.0741237836483535E-3</v>
      </c>
      <c r="U109" s="8">
        <f t="shared" ca="1" si="15"/>
        <v>29515.192070974179</v>
      </c>
      <c r="V109" s="14">
        <f t="shared" ca="1" si="16"/>
        <v>7274064.851910593</v>
      </c>
      <c r="W109" s="8">
        <f t="shared" ca="1" si="17"/>
        <v>5579765.0063817585</v>
      </c>
    </row>
    <row r="110" spans="1:23" x14ac:dyDescent="0.2">
      <c r="A110" s="6">
        <f t="shared" ca="1" si="21"/>
        <v>48914</v>
      </c>
      <c r="B110" s="12">
        <f t="shared" ca="1" si="22"/>
        <v>12</v>
      </c>
      <c r="C110" s="7">
        <f ca="1">(YEAR(A110)-YEAR('ÖNYP kalkulátor'!$C$10))+(MONTH(CF!A110)-MONTH('ÖNYP kalkulátor'!$C$10)-1)/12</f>
        <v>52.5</v>
      </c>
      <c r="D110" s="4">
        <f ca="1">(1+VLOOKUP(YEAR(A110),'ÖNYP kalkulátor'!$E$15:$F$75,2,FALSE))^(1/12)-1</f>
        <v>2.4662697723036864E-3</v>
      </c>
      <c r="E110" s="4">
        <f t="shared" ca="1" si="25"/>
        <v>1.3068659074058735</v>
      </c>
      <c r="F110" s="8">
        <f t="shared" ca="1" si="26"/>
        <v>7274064.851910593</v>
      </c>
      <c r="G110" s="8">
        <v>10000</v>
      </c>
      <c r="H110" s="8">
        <v>250000</v>
      </c>
      <c r="I110" s="8">
        <v>500000</v>
      </c>
      <c r="J110" s="8">
        <v>750000</v>
      </c>
      <c r="K110" s="8"/>
      <c r="L110" s="4">
        <f ca="1">+IF('ÖNYP kalkulátor'!$C$16="nem",0,
IF(MONTH(A110)=1,VLOOKUP(YEAR(A110),'ÖNYP kalkulátor'!$E$15:$J$75,4),0))</f>
        <v>0</v>
      </c>
      <c r="M110" s="8">
        <f t="shared" ca="1" si="23"/>
        <v>39143.195514877341</v>
      </c>
      <c r="N110" s="8">
        <f t="shared" ca="1" si="24"/>
        <v>13047.731838292446</v>
      </c>
      <c r="O110" s="8">
        <f t="shared" ca="1" si="18"/>
        <v>626291.12823803734</v>
      </c>
      <c r="P110" s="8">
        <f t="shared" ca="1" si="19"/>
        <v>595865.30567327654</v>
      </c>
      <c r="Q110" s="8">
        <f t="shared" ca="1" si="20"/>
        <v>51147.108806106262</v>
      </c>
      <c r="R110" s="13">
        <v>150000</v>
      </c>
      <c r="S110" s="13">
        <f ca="1">MIN(IF(AND(MONTH(A110)=5,'ÖNYP kalkulátor'!$IU$6="igen"),(M110+N110)*12/(1+IF('ÖNYP kalkulátor'!$C$16="nem",0,VLOOKUP(YEAR(A110),'ÖNYP kalkulátor'!$E$15:$J$75,4)))*0.2,0),R110)</f>
        <v>0</v>
      </c>
      <c r="T110" s="4">
        <f ca="1">(1+VLOOKUP(YEAR(A110),'ÖNYP kalkulátor'!$E$15:$F$75,2,FALSE)+VLOOKUP(YEAR(A110),'ÖNYP kalkulátor'!$E$15:$I$75,5,FALSE))^(1/12)-1</f>
        <v>4.0741237836483535E-3</v>
      </c>
      <c r="U110" s="8">
        <f t="shared" ca="1" si="15"/>
        <v>29843.820269421292</v>
      </c>
      <c r="V110" s="14">
        <f t="shared" ca="1" si="16"/>
        <v>7355055.7809861209</v>
      </c>
      <c r="W110" s="8">
        <f t="shared" ca="1" si="17"/>
        <v>5628011.0601292625</v>
      </c>
    </row>
    <row r="111" spans="1:23" x14ac:dyDescent="0.2">
      <c r="A111" s="6">
        <f t="shared" ca="1" si="21"/>
        <v>48945</v>
      </c>
      <c r="B111" s="12">
        <f t="shared" ca="1" si="22"/>
        <v>1</v>
      </c>
      <c r="C111" s="7">
        <f ca="1">(YEAR(A111)-YEAR('ÖNYP kalkulátor'!$C$10))+(MONTH(CF!A111)-MONTH('ÖNYP kalkulátor'!$C$10)-1)/12</f>
        <v>52.583333333333336</v>
      </c>
      <c r="D111" s="4">
        <f ca="1">(1+VLOOKUP(YEAR(A111),'ÖNYP kalkulátor'!$E$15:$F$75,2,FALSE))^(1/12)-1</f>
        <v>2.4662697723036864E-3</v>
      </c>
      <c r="E111" s="4">
        <f t="shared" ca="1" si="25"/>
        <v>1.3100889912897629</v>
      </c>
      <c r="F111" s="8">
        <f t="shared" ca="1" si="26"/>
        <v>7355055.7809861209</v>
      </c>
      <c r="G111" s="8">
        <v>10000</v>
      </c>
      <c r="H111" s="8">
        <v>250000</v>
      </c>
      <c r="I111" s="8">
        <v>500000</v>
      </c>
      <c r="J111" s="8">
        <v>750000</v>
      </c>
      <c r="K111" s="8"/>
      <c r="L111" s="4">
        <f ca="1">+IF('ÖNYP kalkulátor'!$C$16="nem",0,
IF(MONTH(A111)=1,VLOOKUP(YEAR(A111),'ÖNYP kalkulátor'!$E$15:$J$75,4),0))</f>
        <v>0.03</v>
      </c>
      <c r="M111" s="8">
        <f t="shared" ca="1" si="23"/>
        <v>40317.491380323663</v>
      </c>
      <c r="N111" s="8">
        <f t="shared" ca="1" si="24"/>
        <v>13439.163793441219</v>
      </c>
      <c r="O111" s="8">
        <f t="shared" ca="1" si="18"/>
        <v>53756.655173764884</v>
      </c>
      <c r="P111" s="8">
        <f t="shared" ca="1" si="19"/>
        <v>50131.255863338985</v>
      </c>
      <c r="Q111" s="8">
        <f t="shared" ca="1" si="20"/>
        <v>50131.255863338985</v>
      </c>
      <c r="R111" s="13">
        <v>150000</v>
      </c>
      <c r="S111" s="13">
        <f ca="1">MIN(IF(AND(MONTH(A111)=5,'ÖNYP kalkulátor'!$IU$6="igen"),(M111+N111)*12/(1+IF('ÖNYP kalkulátor'!$C$16="nem",0,VLOOKUP(YEAR(A111),'ÖNYP kalkulátor'!$E$15:$J$75,4)))*0.2,0),R111)</f>
        <v>0</v>
      </c>
      <c r="T111" s="4">
        <f ca="1">(1+VLOOKUP(YEAR(A111),'ÖNYP kalkulátor'!$E$15:$F$75,2,FALSE)+VLOOKUP(YEAR(A111),'ÖNYP kalkulátor'!$E$15:$I$75,5,FALSE))^(1/12)-1</f>
        <v>4.0741237836483535E-3</v>
      </c>
      <c r="U111" s="8">
        <f t="shared" ca="1" si="15"/>
        <v>30169.64862919286</v>
      </c>
      <c r="V111" s="14">
        <f t="shared" ca="1" si="16"/>
        <v>7435356.6854786528</v>
      </c>
      <c r="W111" s="8">
        <f t="shared" ca="1" si="17"/>
        <v>5675459.2511754921</v>
      </c>
    </row>
    <row r="112" spans="1:23" x14ac:dyDescent="0.2">
      <c r="A112" s="6">
        <f t="shared" ca="1" si="21"/>
        <v>48976</v>
      </c>
      <c r="B112" s="12">
        <f t="shared" ca="1" si="22"/>
        <v>2</v>
      </c>
      <c r="C112" s="7">
        <f ca="1">(YEAR(A112)-YEAR('ÖNYP kalkulátor'!$C$10))+(MONTH(CF!A112)-MONTH('ÖNYP kalkulátor'!$C$10)-1)/12</f>
        <v>52.666666666666664</v>
      </c>
      <c r="D112" s="4">
        <f ca="1">(1+VLOOKUP(YEAR(A112),'ÖNYP kalkulátor'!$E$15:$F$75,2,FALSE))^(1/12)-1</f>
        <v>2.4662697723036864E-3</v>
      </c>
      <c r="E112" s="4">
        <f t="shared" ca="1" si="25"/>
        <v>1.3133200241680085</v>
      </c>
      <c r="F112" s="8">
        <f t="shared" ca="1" si="26"/>
        <v>7435356.6854786528</v>
      </c>
      <c r="G112" s="8">
        <v>10000</v>
      </c>
      <c r="H112" s="8">
        <v>250000</v>
      </c>
      <c r="I112" s="8">
        <v>500000</v>
      </c>
      <c r="J112" s="8">
        <v>750000</v>
      </c>
      <c r="K112" s="8"/>
      <c r="L112" s="4">
        <f ca="1">+IF('ÖNYP kalkulátor'!$C$16="nem",0,
IF(MONTH(A112)=1,VLOOKUP(YEAR(A112),'ÖNYP kalkulátor'!$E$15:$J$75,4),0))</f>
        <v>0</v>
      </c>
      <c r="M112" s="8">
        <f t="shared" ca="1" si="23"/>
        <v>40317.491380323663</v>
      </c>
      <c r="N112" s="8">
        <f t="shared" ca="1" si="24"/>
        <v>13439.163793441219</v>
      </c>
      <c r="O112" s="8">
        <f t="shared" ca="1" si="18"/>
        <v>107513.31034752975</v>
      </c>
      <c r="P112" s="8">
        <f t="shared" ca="1" si="19"/>
        <v>100662.51172667797</v>
      </c>
      <c r="Q112" s="8">
        <f t="shared" ca="1" si="20"/>
        <v>50531.255863338985</v>
      </c>
      <c r="R112" s="13">
        <v>150000</v>
      </c>
      <c r="S112" s="13">
        <f ca="1">MIN(IF(AND(MONTH(A112)=5,'ÖNYP kalkulátor'!$IU$6="igen"),(M112+N112)*12/(1+IF('ÖNYP kalkulátor'!$C$16="nem",0,VLOOKUP(YEAR(A112),'ÖNYP kalkulátor'!$E$15:$J$75,4)))*0.2,0),R112)</f>
        <v>0</v>
      </c>
      <c r="T112" s="4">
        <f ca="1">(1+VLOOKUP(YEAR(A112),'ÖNYP kalkulátor'!$E$15:$F$75,2,FALSE)+VLOOKUP(YEAR(A112),'ÖNYP kalkulátor'!$E$15:$I$75,5,FALSE))^(1/12)-1</f>
        <v>4.0741237836483535E-3</v>
      </c>
      <c r="U112" s="8">
        <f t="shared" ca="1" si="15"/>
        <v>30498.434103547817</v>
      </c>
      <c r="V112" s="14">
        <f t="shared" ca="1" si="16"/>
        <v>7516386.3754455391</v>
      </c>
      <c r="W112" s="8">
        <f t="shared" ca="1" si="17"/>
        <v>5723194.8322779806</v>
      </c>
    </row>
    <row r="113" spans="1:23" x14ac:dyDescent="0.2">
      <c r="A113" s="6">
        <f t="shared" ca="1" si="21"/>
        <v>49004</v>
      </c>
      <c r="B113" s="12">
        <f t="shared" ca="1" si="22"/>
        <v>3</v>
      </c>
      <c r="C113" s="7">
        <f ca="1">(YEAR(A113)-YEAR('ÖNYP kalkulátor'!$C$10))+(MONTH(CF!A113)-MONTH('ÖNYP kalkulátor'!$C$10)-1)/12</f>
        <v>52.75</v>
      </c>
      <c r="D113" s="4">
        <f ca="1">(1+VLOOKUP(YEAR(A113),'ÖNYP kalkulátor'!$E$15:$F$75,2,FALSE))^(1/12)-1</f>
        <v>2.4662697723036864E-3</v>
      </c>
      <c r="E113" s="4">
        <f t="shared" ca="1" si="25"/>
        <v>1.3165590256449753</v>
      </c>
      <c r="F113" s="8">
        <f t="shared" ca="1" si="26"/>
        <v>7516386.3754455391</v>
      </c>
      <c r="G113" s="8">
        <v>10000</v>
      </c>
      <c r="H113" s="8">
        <v>250000</v>
      </c>
      <c r="I113" s="8">
        <v>500000</v>
      </c>
      <c r="J113" s="8">
        <v>750000</v>
      </c>
      <c r="K113" s="8"/>
      <c r="L113" s="4">
        <f ca="1">+IF('ÖNYP kalkulátor'!$C$16="nem",0,
IF(MONTH(A113)=1,VLOOKUP(YEAR(A113),'ÖNYP kalkulátor'!$E$15:$J$75,4),0))</f>
        <v>0</v>
      </c>
      <c r="M113" s="8">
        <f t="shared" ca="1" si="23"/>
        <v>40317.491380323663</v>
      </c>
      <c r="N113" s="8">
        <f t="shared" ca="1" si="24"/>
        <v>13439.163793441219</v>
      </c>
      <c r="O113" s="8">
        <f t="shared" ca="1" si="18"/>
        <v>161269.96552129465</v>
      </c>
      <c r="P113" s="8">
        <f t="shared" ca="1" si="19"/>
        <v>151193.76759001697</v>
      </c>
      <c r="Q113" s="8">
        <f t="shared" ca="1" si="20"/>
        <v>50531.255863339</v>
      </c>
      <c r="R113" s="13">
        <v>150000</v>
      </c>
      <c r="S113" s="13">
        <f ca="1">MIN(IF(AND(MONTH(A113)=5,'ÖNYP kalkulátor'!$IU$6="igen"),(M113+N113)*12/(1+IF('ÖNYP kalkulátor'!$C$16="nem",0,VLOOKUP(YEAR(A113),'ÖNYP kalkulátor'!$E$15:$J$75,4)))*0.2,0),R113)</f>
        <v>0</v>
      </c>
      <c r="T113" s="4">
        <f ca="1">(1+VLOOKUP(YEAR(A113),'ÖNYP kalkulátor'!$E$15:$F$75,2,FALSE)+VLOOKUP(YEAR(A113),'ÖNYP kalkulátor'!$E$15:$I$75,5,FALSE))^(1/12)-1</f>
        <v>4.0741237836483535E-3</v>
      </c>
      <c r="U113" s="8">
        <f t="shared" ca="1" si="15"/>
        <v>30828.559090623563</v>
      </c>
      <c r="V113" s="14">
        <f t="shared" ca="1" si="16"/>
        <v>7597746.1903995015</v>
      </c>
      <c r="W113" s="8">
        <f t="shared" ca="1" si="17"/>
        <v>5770911.932093136</v>
      </c>
    </row>
    <row r="114" spans="1:23" x14ac:dyDescent="0.2">
      <c r="A114" s="6">
        <f t="shared" ca="1" si="21"/>
        <v>49035</v>
      </c>
      <c r="B114" s="12">
        <f t="shared" ca="1" si="22"/>
        <v>4</v>
      </c>
      <c r="C114" s="7">
        <f ca="1">(YEAR(A114)-YEAR('ÖNYP kalkulátor'!$C$10))+(MONTH(CF!A114)-MONTH('ÖNYP kalkulátor'!$C$10)-1)/12</f>
        <v>52.833333333333336</v>
      </c>
      <c r="D114" s="4">
        <f ca="1">(1+VLOOKUP(YEAR(A114),'ÖNYP kalkulátor'!$E$15:$F$75,2,FALSE))^(1/12)-1</f>
        <v>2.4662697723036864E-3</v>
      </c>
      <c r="E114" s="4">
        <f t="shared" ca="1" si="25"/>
        <v>1.3198060153733771</v>
      </c>
      <c r="F114" s="8">
        <f t="shared" ca="1" si="26"/>
        <v>7597746.1903995015</v>
      </c>
      <c r="G114" s="8">
        <v>10000</v>
      </c>
      <c r="H114" s="8">
        <v>250000</v>
      </c>
      <c r="I114" s="8">
        <v>500000</v>
      </c>
      <c r="J114" s="8">
        <v>750000</v>
      </c>
      <c r="K114" s="8"/>
      <c r="L114" s="4">
        <f ca="1">+IF('ÖNYP kalkulátor'!$C$16="nem",0,
IF(MONTH(A114)=1,VLOOKUP(YEAR(A114),'ÖNYP kalkulátor'!$E$15:$J$75,4),0))</f>
        <v>0</v>
      </c>
      <c r="M114" s="8">
        <f t="shared" ca="1" si="23"/>
        <v>40317.491380323663</v>
      </c>
      <c r="N114" s="8">
        <f t="shared" ca="1" si="24"/>
        <v>13439.163793441219</v>
      </c>
      <c r="O114" s="8">
        <f t="shared" ca="1" si="18"/>
        <v>215026.62069505954</v>
      </c>
      <c r="P114" s="8">
        <f t="shared" ca="1" si="19"/>
        <v>201725.02345335594</v>
      </c>
      <c r="Q114" s="8">
        <f t="shared" ca="1" si="20"/>
        <v>50531.255863338971</v>
      </c>
      <c r="R114" s="13">
        <v>150000</v>
      </c>
      <c r="S114" s="13">
        <f ca="1">MIN(IF(AND(MONTH(A114)=5,'ÖNYP kalkulátor'!$IU$6="igen"),(M114+N114)*12/(1+IF('ÖNYP kalkulátor'!$C$16="nem",0,VLOOKUP(YEAR(A114),'ÖNYP kalkulátor'!$E$15:$J$75,4)))*0.2,0),R114)</f>
        <v>0</v>
      </c>
      <c r="T114" s="4">
        <f ca="1">(1+VLOOKUP(YEAR(A114),'ÖNYP kalkulátor'!$E$15:$F$75,2,FALSE)+VLOOKUP(YEAR(A114),'ÖNYP kalkulátor'!$E$15:$I$75,5,FALSE))^(1/12)-1</f>
        <v>4.0741237836483535E-3</v>
      </c>
      <c r="U114" s="8">
        <f t="shared" ca="1" si="15"/>
        <v>31160.02904776073</v>
      </c>
      <c r="V114" s="14">
        <f t="shared" ca="1" si="16"/>
        <v>7679437.4753106013</v>
      </c>
      <c r="W114" s="8">
        <f t="shared" ca="1" si="17"/>
        <v>5818610.7548070736</v>
      </c>
    </row>
    <row r="115" spans="1:23" x14ac:dyDescent="0.2">
      <c r="A115" s="6">
        <f t="shared" ca="1" si="21"/>
        <v>49065</v>
      </c>
      <c r="B115" s="12">
        <f t="shared" ca="1" si="22"/>
        <v>5</v>
      </c>
      <c r="C115" s="7">
        <f ca="1">(YEAR(A115)-YEAR('ÖNYP kalkulátor'!$C$10))+(MONTH(CF!A115)-MONTH('ÖNYP kalkulátor'!$C$10)-1)/12</f>
        <v>52.916666666666664</v>
      </c>
      <c r="D115" s="4">
        <f ca="1">(1+VLOOKUP(YEAR(A115),'ÖNYP kalkulátor'!$E$15:$F$75,2,FALSE))^(1/12)-1</f>
        <v>2.4662697723036864E-3</v>
      </c>
      <c r="E115" s="4">
        <f t="shared" ca="1" si="25"/>
        <v>1.3230610130543969</v>
      </c>
      <c r="F115" s="8">
        <f t="shared" ca="1" si="26"/>
        <v>7679437.4753106013</v>
      </c>
      <c r="G115" s="8">
        <v>10000</v>
      </c>
      <c r="H115" s="8">
        <v>250000</v>
      </c>
      <c r="I115" s="8">
        <v>500000</v>
      </c>
      <c r="J115" s="8">
        <v>750000</v>
      </c>
      <c r="K115" s="8"/>
      <c r="L115" s="4">
        <f ca="1">+IF('ÖNYP kalkulátor'!$C$16="nem",0,
IF(MONTH(A115)=1,VLOOKUP(YEAR(A115),'ÖNYP kalkulátor'!$E$15:$J$75,4),0))</f>
        <v>0</v>
      </c>
      <c r="M115" s="8">
        <f t="shared" ca="1" si="23"/>
        <v>40317.491380323663</v>
      </c>
      <c r="N115" s="8">
        <f t="shared" ca="1" si="24"/>
        <v>13439.163793441219</v>
      </c>
      <c r="O115" s="8">
        <f t="shared" ca="1" si="18"/>
        <v>268783.27586882439</v>
      </c>
      <c r="P115" s="8">
        <f t="shared" ca="1" si="19"/>
        <v>252444.11207538316</v>
      </c>
      <c r="Q115" s="8">
        <f t="shared" ca="1" si="20"/>
        <v>50719.088622027222</v>
      </c>
      <c r="R115" s="13">
        <v>150000</v>
      </c>
      <c r="S115" s="13">
        <f ca="1">MIN(IF(AND(MONTH(A115)=5,'ÖNYP kalkulátor'!$IU$6="igen"),(M115+N115)*12/(1+IF('ÖNYP kalkulátor'!$C$16="nem",0,VLOOKUP(YEAR(A115),'ÖNYP kalkulátor'!$E$15:$J$75,4)))*0.2,0),R115)</f>
        <v>125258.2256476075</v>
      </c>
      <c r="T115" s="4">
        <f ca="1">(1+VLOOKUP(YEAR(A115),'ÖNYP kalkulátor'!$E$15:$F$75,2,FALSE)+VLOOKUP(YEAR(A115),'ÖNYP kalkulátor'!$E$15:$I$75,5,FALSE))^(1/12)-1</f>
        <v>4.0741237836483535E-3</v>
      </c>
      <c r="U115" s="8">
        <f t="shared" ca="1" si="15"/>
        <v>32003.932224651868</v>
      </c>
      <c r="V115" s="14">
        <f t="shared" ca="1" si="16"/>
        <v>7887418.721804888</v>
      </c>
      <c r="W115" s="8">
        <f t="shared" ca="1" si="17"/>
        <v>5961492.8139981413</v>
      </c>
    </row>
    <row r="116" spans="1:23" x14ac:dyDescent="0.2">
      <c r="A116" s="6">
        <f t="shared" ca="1" si="21"/>
        <v>49096</v>
      </c>
      <c r="B116" s="12">
        <f t="shared" ca="1" si="22"/>
        <v>6</v>
      </c>
      <c r="C116" s="7">
        <f ca="1">(YEAR(A116)-YEAR('ÖNYP kalkulátor'!$C$10))+(MONTH(CF!A116)-MONTH('ÖNYP kalkulátor'!$C$10)-1)/12</f>
        <v>53</v>
      </c>
      <c r="D116" s="4">
        <f ca="1">(1+VLOOKUP(YEAR(A116),'ÖNYP kalkulátor'!$E$15:$F$75,2,FALSE))^(1/12)-1</f>
        <v>2.4662697723036864E-3</v>
      </c>
      <c r="E116" s="4">
        <f t="shared" ca="1" si="25"/>
        <v>1.3263240384378066</v>
      </c>
      <c r="F116" s="8">
        <f t="shared" ca="1" si="26"/>
        <v>7887418.721804888</v>
      </c>
      <c r="G116" s="8">
        <v>10000</v>
      </c>
      <c r="H116" s="8">
        <v>250000</v>
      </c>
      <c r="I116" s="8">
        <v>500000</v>
      </c>
      <c r="J116" s="8">
        <v>750000</v>
      </c>
      <c r="K116" s="8"/>
      <c r="L116" s="4">
        <f ca="1">+IF('ÖNYP kalkulátor'!$C$16="nem",0,
IF(MONTH(A116)=1,VLOOKUP(YEAR(A116),'ÖNYP kalkulátor'!$E$15:$J$75,4),0))</f>
        <v>0</v>
      </c>
      <c r="M116" s="8">
        <f t="shared" ca="1" si="23"/>
        <v>40317.491380323663</v>
      </c>
      <c r="N116" s="8">
        <f t="shared" ca="1" si="24"/>
        <v>13439.163793441219</v>
      </c>
      <c r="O116" s="8">
        <f t="shared" ca="1" si="18"/>
        <v>322539.93104258925</v>
      </c>
      <c r="P116" s="8">
        <f t="shared" ca="1" si="19"/>
        <v>303512.9344904598</v>
      </c>
      <c r="Q116" s="8">
        <f t="shared" ca="1" si="20"/>
        <v>51068.822415076633</v>
      </c>
      <c r="R116" s="13">
        <v>150000</v>
      </c>
      <c r="S116" s="13">
        <f ca="1">MIN(IF(AND(MONTH(A116)=5,'ÖNYP kalkulátor'!$IU$6="igen"),(M116+N116)*12/(1+IF('ÖNYP kalkulátor'!$C$16="nem",0,VLOOKUP(YEAR(A116),'ÖNYP kalkulátor'!$E$15:$J$75,4)))*0.2,0),R116)</f>
        <v>0</v>
      </c>
      <c r="T116" s="4">
        <f ca="1">(1+VLOOKUP(YEAR(A116),'ÖNYP kalkulátor'!$E$15:$F$75,2,FALSE)+VLOOKUP(YEAR(A116),'ÖNYP kalkulátor'!$E$15:$I$75,5,FALSE))^(1/12)-1</f>
        <v>4.0741237836483535E-3</v>
      </c>
      <c r="U116" s="8">
        <f t="shared" ca="1" si="15"/>
        <v>32342.380910102765</v>
      </c>
      <c r="V116" s="14">
        <f t="shared" ca="1" si="16"/>
        <v>7970829.9251300674</v>
      </c>
      <c r="W116" s="8">
        <f t="shared" ca="1" si="17"/>
        <v>6009715.3441616008</v>
      </c>
    </row>
    <row r="117" spans="1:23" x14ac:dyDescent="0.2">
      <c r="A117" s="6">
        <f t="shared" ca="1" si="21"/>
        <v>49126</v>
      </c>
      <c r="B117" s="12">
        <f t="shared" ca="1" si="22"/>
        <v>7</v>
      </c>
      <c r="C117" s="7">
        <f ca="1">(YEAR(A117)-YEAR('ÖNYP kalkulátor'!$C$10))+(MONTH(CF!A117)-MONTH('ÖNYP kalkulátor'!$C$10)-1)/12</f>
        <v>53.083333333333336</v>
      </c>
      <c r="D117" s="4">
        <f ca="1">(1+VLOOKUP(YEAR(A117),'ÖNYP kalkulátor'!$E$15:$F$75,2,FALSE))^(1/12)-1</f>
        <v>2.4662697723036864E-3</v>
      </c>
      <c r="E117" s="4">
        <f t="shared" ca="1" si="25"/>
        <v>1.3295951113220854</v>
      </c>
      <c r="F117" s="8">
        <f t="shared" ca="1" si="26"/>
        <v>7970829.9251300674</v>
      </c>
      <c r="G117" s="8">
        <v>10000</v>
      </c>
      <c r="H117" s="8">
        <v>250000</v>
      </c>
      <c r="I117" s="8">
        <v>500000</v>
      </c>
      <c r="J117" s="8">
        <v>750000</v>
      </c>
      <c r="K117" s="8"/>
      <c r="L117" s="4">
        <f ca="1">+IF('ÖNYP kalkulátor'!$C$16="nem",0,
IF(MONTH(A117)=1,VLOOKUP(YEAR(A117),'ÖNYP kalkulátor'!$E$15:$J$75,4),0))</f>
        <v>0</v>
      </c>
      <c r="M117" s="8">
        <f t="shared" ca="1" si="23"/>
        <v>40317.491380323663</v>
      </c>
      <c r="N117" s="8">
        <f t="shared" ca="1" si="24"/>
        <v>13439.163793441219</v>
      </c>
      <c r="O117" s="8">
        <f t="shared" ca="1" si="18"/>
        <v>376296.5862163541</v>
      </c>
      <c r="P117" s="8">
        <f t="shared" ca="1" si="19"/>
        <v>354581.7569055364</v>
      </c>
      <c r="Q117" s="8">
        <f t="shared" ca="1" si="20"/>
        <v>51068.822415076604</v>
      </c>
      <c r="R117" s="13">
        <v>150000</v>
      </c>
      <c r="S117" s="13">
        <f ca="1">MIN(IF(AND(MONTH(A117)=5,'ÖNYP kalkulátor'!$IU$6="igen"),(M117+N117)*12/(1+IF('ÖNYP kalkulátor'!$C$16="nem",0,VLOOKUP(YEAR(A117),'ÖNYP kalkulátor'!$E$15:$J$75,4)))*0.2,0),R117)</f>
        <v>0</v>
      </c>
      <c r="T117" s="4">
        <f ca="1">(1+VLOOKUP(YEAR(A117),'ÖNYP kalkulátor'!$E$15:$F$75,2,FALSE)+VLOOKUP(YEAR(A117),'ÖNYP kalkulátor'!$E$15:$I$75,5,FALSE))^(1/12)-1</f>
        <v>4.0741237836483535E-3</v>
      </c>
      <c r="U117" s="8">
        <f t="shared" ca="1" si="15"/>
        <v>32682.208477392607</v>
      </c>
      <c r="V117" s="14">
        <f t="shared" ca="1" si="16"/>
        <v>8054580.9560225364</v>
      </c>
      <c r="W117" s="8">
        <f t="shared" ca="1" si="17"/>
        <v>6057920.1047253013</v>
      </c>
    </row>
    <row r="118" spans="1:23" x14ac:dyDescent="0.2">
      <c r="A118" s="6">
        <f t="shared" ca="1" si="21"/>
        <v>49157</v>
      </c>
      <c r="B118" s="12">
        <f t="shared" ca="1" si="22"/>
        <v>8</v>
      </c>
      <c r="C118" s="7">
        <f ca="1">(YEAR(A118)-YEAR('ÖNYP kalkulátor'!$C$10))+(MONTH(CF!A118)-MONTH('ÖNYP kalkulátor'!$C$10)-1)/12</f>
        <v>53.166666666666664</v>
      </c>
      <c r="D118" s="4">
        <f ca="1">(1+VLOOKUP(YEAR(A118),'ÖNYP kalkulátor'!$E$15:$F$75,2,FALSE))^(1/12)-1</f>
        <v>2.4662697723036864E-3</v>
      </c>
      <c r="E118" s="4">
        <f t="shared" ca="1" si="25"/>
        <v>1.3328742515545418</v>
      </c>
      <c r="F118" s="8">
        <f t="shared" ca="1" si="26"/>
        <v>8054580.9560225364</v>
      </c>
      <c r="G118" s="8">
        <v>10000</v>
      </c>
      <c r="H118" s="8">
        <v>250000</v>
      </c>
      <c r="I118" s="8">
        <v>500000</v>
      </c>
      <c r="J118" s="8">
        <v>750000</v>
      </c>
      <c r="K118" s="8"/>
      <c r="L118" s="4">
        <f ca="1">+IF('ÖNYP kalkulátor'!$C$16="nem",0,
IF(MONTH(A118)=1,VLOOKUP(YEAR(A118),'ÖNYP kalkulátor'!$E$15:$J$75,4),0))</f>
        <v>0</v>
      </c>
      <c r="M118" s="8">
        <f t="shared" ca="1" si="23"/>
        <v>40317.491380323663</v>
      </c>
      <c r="N118" s="8">
        <f t="shared" ca="1" si="24"/>
        <v>13439.163793441219</v>
      </c>
      <c r="O118" s="8">
        <f t="shared" ca="1" si="18"/>
        <v>430053.24139011896</v>
      </c>
      <c r="P118" s="8">
        <f t="shared" ca="1" si="19"/>
        <v>405650.579320613</v>
      </c>
      <c r="Q118" s="8">
        <f t="shared" ca="1" si="20"/>
        <v>51068.822415076604</v>
      </c>
      <c r="R118" s="13">
        <v>150000</v>
      </c>
      <c r="S118" s="13">
        <f ca="1">MIN(IF(AND(MONTH(A118)=5,'ÖNYP kalkulátor'!$IU$6="igen"),(M118+N118)*12/(1+IF('ÖNYP kalkulátor'!$C$16="nem",0,VLOOKUP(YEAR(A118),'ÖNYP kalkulátor'!$E$15:$J$75,4)))*0.2,0),R118)</f>
        <v>0</v>
      </c>
      <c r="T118" s="4">
        <f ca="1">(1+VLOOKUP(YEAR(A118),'ÖNYP kalkulátor'!$E$15:$F$75,2,FALSE)+VLOOKUP(YEAR(A118),'ÖNYP kalkulátor'!$E$15:$I$75,5,FALSE))^(1/12)-1</f>
        <v>4.0741237836483535E-3</v>
      </c>
      <c r="U118" s="8">
        <f t="shared" ca="1" si="15"/>
        <v>33023.420544256682</v>
      </c>
      <c r="V118" s="14">
        <f t="shared" ca="1" si="16"/>
        <v>8138673.198981869</v>
      </c>
      <c r="W118" s="8">
        <f t="shared" ca="1" si="17"/>
        <v>6106107.3011873923</v>
      </c>
    </row>
    <row r="119" spans="1:23" x14ac:dyDescent="0.2">
      <c r="A119" s="6">
        <f t="shared" ca="1" si="21"/>
        <v>49188</v>
      </c>
      <c r="B119" s="12">
        <f t="shared" ca="1" si="22"/>
        <v>9</v>
      </c>
      <c r="C119" s="7">
        <f ca="1">(YEAR(A119)-YEAR('ÖNYP kalkulátor'!$C$10))+(MONTH(CF!A119)-MONTH('ÖNYP kalkulátor'!$C$10)-1)/12</f>
        <v>53.25</v>
      </c>
      <c r="D119" s="4">
        <f ca="1">(1+VLOOKUP(YEAR(A119),'ÖNYP kalkulátor'!$E$15:$F$75,2,FALSE))^(1/12)-1</f>
        <v>2.4662697723036864E-3</v>
      </c>
      <c r="E119" s="4">
        <f t="shared" ca="1" si="25"/>
        <v>1.3361614790314327</v>
      </c>
      <c r="F119" s="8">
        <f t="shared" ca="1" si="26"/>
        <v>8138673.198981869</v>
      </c>
      <c r="G119" s="8">
        <v>10000</v>
      </c>
      <c r="H119" s="8">
        <v>250000</v>
      </c>
      <c r="I119" s="8">
        <v>500000</v>
      </c>
      <c r="J119" s="8">
        <v>750000</v>
      </c>
      <c r="K119" s="8"/>
      <c r="L119" s="4">
        <f ca="1">+IF('ÖNYP kalkulátor'!$C$16="nem",0,
IF(MONTH(A119)=1,VLOOKUP(YEAR(A119),'ÖNYP kalkulátor'!$E$15:$J$75,4),0))</f>
        <v>0</v>
      </c>
      <c r="M119" s="8">
        <f t="shared" ca="1" si="23"/>
        <v>40317.491380323663</v>
      </c>
      <c r="N119" s="8">
        <f t="shared" ca="1" si="24"/>
        <v>13439.163793441219</v>
      </c>
      <c r="O119" s="8">
        <f t="shared" ca="1" si="18"/>
        <v>483809.89656388381</v>
      </c>
      <c r="P119" s="8">
        <f t="shared" ca="1" si="19"/>
        <v>456719.40173568961</v>
      </c>
      <c r="Q119" s="8">
        <f t="shared" ca="1" si="20"/>
        <v>51068.822415076604</v>
      </c>
      <c r="R119" s="13">
        <v>150000</v>
      </c>
      <c r="S119" s="13">
        <f ca="1">MIN(IF(AND(MONTH(A119)=5,'ÖNYP kalkulátor'!$IU$6="igen"),(M119+N119)*12/(1+IF('ÖNYP kalkulátor'!$C$16="nem",0,VLOOKUP(YEAR(A119),'ÖNYP kalkulátor'!$E$15:$J$75,4)))*0.2,0),R119)</f>
        <v>0</v>
      </c>
      <c r="T119" s="4">
        <f ca="1">(1+VLOOKUP(YEAR(A119),'ÖNYP kalkulátor'!$E$15:$F$75,2,FALSE)+VLOOKUP(YEAR(A119),'ÖNYP kalkulátor'!$E$15:$I$75,5,FALSE))^(1/12)-1</f>
        <v>4.0741237836483535E-3</v>
      </c>
      <c r="U119" s="8">
        <f t="shared" ca="1" si="15"/>
        <v>33366.022751317636</v>
      </c>
      <c r="V119" s="14">
        <f t="shared" ca="1" si="16"/>
        <v>8223108.0441482626</v>
      </c>
      <c r="W119" s="8">
        <f t="shared" ca="1" si="17"/>
        <v>6154277.1387999412</v>
      </c>
    </row>
    <row r="120" spans="1:23" x14ac:dyDescent="0.2">
      <c r="A120" s="6">
        <f t="shared" ca="1" si="21"/>
        <v>49218</v>
      </c>
      <c r="B120" s="12">
        <f t="shared" ca="1" si="22"/>
        <v>10</v>
      </c>
      <c r="C120" s="7">
        <f ca="1">(YEAR(A120)-YEAR('ÖNYP kalkulátor'!$C$10))+(MONTH(CF!A120)-MONTH('ÖNYP kalkulátor'!$C$10)-1)/12</f>
        <v>53.333333333333336</v>
      </c>
      <c r="D120" s="4">
        <f ca="1">(1+VLOOKUP(YEAR(A120),'ÖNYP kalkulátor'!$E$15:$F$75,2,FALSE))^(1/12)-1</f>
        <v>2.4662697723036864E-3</v>
      </c>
      <c r="E120" s="4">
        <f t="shared" ca="1" si="25"/>
        <v>1.3394568136980844</v>
      </c>
      <c r="F120" s="8">
        <f t="shared" ca="1" si="26"/>
        <v>8223108.0441482626</v>
      </c>
      <c r="G120" s="8">
        <v>10000</v>
      </c>
      <c r="H120" s="8">
        <v>250000</v>
      </c>
      <c r="I120" s="8">
        <v>500000</v>
      </c>
      <c r="J120" s="8">
        <v>750000</v>
      </c>
      <c r="K120" s="8"/>
      <c r="L120" s="4">
        <f ca="1">+IF('ÖNYP kalkulátor'!$C$16="nem",0,
IF(MONTH(A120)=1,VLOOKUP(YEAR(A120),'ÖNYP kalkulátor'!$E$15:$J$75,4),0))</f>
        <v>0</v>
      </c>
      <c r="M120" s="8">
        <f t="shared" ca="1" si="23"/>
        <v>40317.491380323663</v>
      </c>
      <c r="N120" s="8">
        <f t="shared" ca="1" si="24"/>
        <v>13439.163793441219</v>
      </c>
      <c r="O120" s="8">
        <f t="shared" ca="1" si="18"/>
        <v>537566.55173764867</v>
      </c>
      <c r="P120" s="8">
        <f t="shared" ca="1" si="19"/>
        <v>508915.22070289566</v>
      </c>
      <c r="Q120" s="8">
        <f t="shared" ca="1" si="20"/>
        <v>52195.818967206054</v>
      </c>
      <c r="R120" s="13">
        <v>150000</v>
      </c>
      <c r="S120" s="13">
        <f ca="1">MIN(IF(AND(MONTH(A120)=5,'ÖNYP kalkulátor'!$IU$6="igen"),(M120+N120)*12/(1+IF('ÖNYP kalkulátor'!$C$16="nem",0,VLOOKUP(YEAR(A120),'ÖNYP kalkulátor'!$E$15:$J$75,4)))*0.2,0),R120)</f>
        <v>0</v>
      </c>
      <c r="T120" s="4">
        <f ca="1">(1+VLOOKUP(YEAR(A120),'ÖNYP kalkulátor'!$E$15:$F$75,2,FALSE)+VLOOKUP(YEAR(A120),'ÖNYP kalkulátor'!$E$15:$I$75,5,FALSE))^(1/12)-1</f>
        <v>4.0741237836483535E-3</v>
      </c>
      <c r="U120" s="8">
        <f t="shared" ca="1" si="15"/>
        <v>33714.612285635834</v>
      </c>
      <c r="V120" s="14">
        <f t="shared" ca="1" si="16"/>
        <v>8309018.4754011044</v>
      </c>
      <c r="W120" s="8">
        <f t="shared" ca="1" si="17"/>
        <v>6203274.6337381871</v>
      </c>
    </row>
    <row r="121" spans="1:23" x14ac:dyDescent="0.2">
      <c r="A121" s="6">
        <f t="shared" ca="1" si="21"/>
        <v>49249</v>
      </c>
      <c r="B121" s="12">
        <f t="shared" ca="1" si="22"/>
        <v>11</v>
      </c>
      <c r="C121" s="7">
        <f ca="1">(YEAR(A121)-YEAR('ÖNYP kalkulátor'!$C$10))+(MONTH(CF!A121)-MONTH('ÖNYP kalkulátor'!$C$10)-1)/12</f>
        <v>53.416666666666664</v>
      </c>
      <c r="D121" s="4">
        <f ca="1">(1+VLOOKUP(YEAR(A121),'ÖNYP kalkulátor'!$E$15:$F$75,2,FALSE))^(1/12)-1</f>
        <v>2.4662697723036864E-3</v>
      </c>
      <c r="E121" s="4">
        <f t="shared" ca="1" si="25"/>
        <v>1.3427602755490142</v>
      </c>
      <c r="F121" s="8">
        <f t="shared" ca="1" si="26"/>
        <v>8309018.4754011044</v>
      </c>
      <c r="G121" s="8">
        <v>10000</v>
      </c>
      <c r="H121" s="8">
        <v>250000</v>
      </c>
      <c r="I121" s="8">
        <v>500000</v>
      </c>
      <c r="J121" s="8">
        <v>750000</v>
      </c>
      <c r="K121" s="8"/>
      <c r="L121" s="4">
        <f ca="1">+IF('ÖNYP kalkulátor'!$C$16="nem",0,
IF(MONTH(A121)=1,VLOOKUP(YEAR(A121),'ÖNYP kalkulátor'!$E$15:$J$75,4),0))</f>
        <v>0</v>
      </c>
      <c r="M121" s="8">
        <f t="shared" ca="1" si="23"/>
        <v>40317.491380323663</v>
      </c>
      <c r="N121" s="8">
        <f t="shared" ca="1" si="24"/>
        <v>13439.163793441219</v>
      </c>
      <c r="O121" s="8">
        <f t="shared" ca="1" si="18"/>
        <v>591323.20691141358</v>
      </c>
      <c r="P121" s="8">
        <f t="shared" ca="1" si="19"/>
        <v>561596.74277318525</v>
      </c>
      <c r="Q121" s="8">
        <f t="shared" ca="1" si="20"/>
        <v>52681.522070289589</v>
      </c>
      <c r="R121" s="13">
        <v>150000</v>
      </c>
      <c r="S121" s="13">
        <f ca="1">MIN(IF(AND(MONTH(A121)=5,'ÖNYP kalkulátor'!$IU$6="igen"),(M121+N121)*12/(1+IF('ÖNYP kalkulátor'!$C$16="nem",0,VLOOKUP(YEAR(A121),'ÖNYP kalkulátor'!$E$15:$J$75,4)))*0.2,0),R121)</f>
        <v>0</v>
      </c>
      <c r="T121" s="4">
        <f ca="1">(1+VLOOKUP(YEAR(A121),'ÖNYP kalkulátor'!$E$15:$F$75,2,FALSE)+VLOOKUP(YEAR(A121),'ÖNYP kalkulátor'!$E$15:$I$75,5,FALSE))^(1/12)-1</f>
        <v>4.0741237836483535E-3</v>
      </c>
      <c r="U121" s="8">
        <f t="shared" ca="1" si="15"/>
        <v>34066.60083143058</v>
      </c>
      <c r="V121" s="14">
        <f t="shared" ca="1" si="16"/>
        <v>8395766.5983028244</v>
      </c>
      <c r="W121" s="8">
        <f t="shared" ca="1" si="17"/>
        <v>6252617.649766298</v>
      </c>
    </row>
    <row r="122" spans="1:23" x14ac:dyDescent="0.2">
      <c r="A122" s="6">
        <f t="shared" ca="1" si="21"/>
        <v>49279</v>
      </c>
      <c r="B122" s="12">
        <f t="shared" ca="1" si="22"/>
        <v>12</v>
      </c>
      <c r="C122" s="7">
        <f ca="1">(YEAR(A122)-YEAR('ÖNYP kalkulátor'!$C$10))+(MONTH(CF!A122)-MONTH('ÖNYP kalkulátor'!$C$10)-1)/12</f>
        <v>53.5</v>
      </c>
      <c r="D122" s="4">
        <f ca="1">(1+VLOOKUP(YEAR(A122),'ÖNYP kalkulátor'!$E$15:$F$75,2,FALSE))^(1/12)-1</f>
        <v>2.4662697723036864E-3</v>
      </c>
      <c r="E122" s="4">
        <f t="shared" ca="1" si="25"/>
        <v>1.3460718846280508</v>
      </c>
      <c r="F122" s="8">
        <f t="shared" ca="1" si="26"/>
        <v>8395766.5983028244</v>
      </c>
      <c r="G122" s="8">
        <v>10000</v>
      </c>
      <c r="H122" s="8">
        <v>250000</v>
      </c>
      <c r="I122" s="8">
        <v>500000</v>
      </c>
      <c r="J122" s="8">
        <v>750000</v>
      </c>
      <c r="K122" s="8"/>
      <c r="L122" s="4">
        <f ca="1">+IF('ÖNYP kalkulátor'!$C$16="nem",0,
IF(MONTH(A122)=1,VLOOKUP(YEAR(A122),'ÖNYP kalkulátor'!$E$15:$J$75,4),0))</f>
        <v>0</v>
      </c>
      <c r="M122" s="8">
        <f t="shared" ca="1" si="23"/>
        <v>40317.491380323663</v>
      </c>
      <c r="N122" s="8">
        <f t="shared" ca="1" si="24"/>
        <v>13439.163793441219</v>
      </c>
      <c r="O122" s="8">
        <f t="shared" ca="1" si="18"/>
        <v>645079.86208517849</v>
      </c>
      <c r="P122" s="8">
        <f t="shared" ca="1" si="19"/>
        <v>614278.26484347496</v>
      </c>
      <c r="Q122" s="8">
        <f t="shared" ca="1" si="20"/>
        <v>52681.522070289706</v>
      </c>
      <c r="R122" s="13">
        <v>150000</v>
      </c>
      <c r="S122" s="13">
        <f ca="1">MIN(IF(AND(MONTH(A122)=5,'ÖNYP kalkulátor'!$IU$6="igen"),(M122+N122)*12/(1+IF('ÖNYP kalkulátor'!$C$16="nem",0,VLOOKUP(YEAR(A122),'ÖNYP kalkulátor'!$E$15:$J$75,4)))*0.2,0),R122)</f>
        <v>0</v>
      </c>
      <c r="T122" s="4">
        <f ca="1">(1+VLOOKUP(YEAR(A122),'ÖNYP kalkulátor'!$E$15:$F$75,2,FALSE)+VLOOKUP(YEAR(A122),'ÖNYP kalkulátor'!$E$15:$I$75,5,FALSE))^(1/12)-1</f>
        <v>4.0741237836483535E-3</v>
      </c>
      <c r="U122" s="8">
        <f t="shared" ca="1" si="15"/>
        <v>34420.023422131337</v>
      </c>
      <c r="V122" s="14">
        <f t="shared" ca="1" si="16"/>
        <v>8482868.1437952463</v>
      </c>
      <c r="W122" s="8">
        <f t="shared" ca="1" si="17"/>
        <v>6301942.8907686071</v>
      </c>
    </row>
    <row r="123" spans="1:23" x14ac:dyDescent="0.2">
      <c r="A123" s="6">
        <f t="shared" ca="1" si="21"/>
        <v>49310</v>
      </c>
      <c r="B123" s="12">
        <f t="shared" ca="1" si="22"/>
        <v>1</v>
      </c>
      <c r="C123" s="7">
        <f ca="1">(YEAR(A123)-YEAR('ÖNYP kalkulátor'!$C$10))+(MONTH(CF!A123)-MONTH('ÖNYP kalkulátor'!$C$10)-1)/12</f>
        <v>53.583333333333336</v>
      </c>
      <c r="D123" s="4">
        <f ca="1">(1+VLOOKUP(YEAR(A123),'ÖNYP kalkulátor'!$E$15:$F$75,2,FALSE))^(1/12)-1</f>
        <v>2.4662697723036864E-3</v>
      </c>
      <c r="E123" s="4">
        <f t="shared" ca="1" si="25"/>
        <v>1.3493916610284569</v>
      </c>
      <c r="F123" s="8">
        <f t="shared" ca="1" si="26"/>
        <v>8482868.1437952463</v>
      </c>
      <c r="G123" s="8">
        <v>10000</v>
      </c>
      <c r="H123" s="8">
        <v>250000</v>
      </c>
      <c r="I123" s="8">
        <v>500000</v>
      </c>
      <c r="J123" s="8">
        <v>750000</v>
      </c>
      <c r="K123" s="8"/>
      <c r="L123" s="4">
        <f ca="1">+IF('ÖNYP kalkulátor'!$C$16="nem",0,
IF(MONTH(A123)=1,VLOOKUP(YEAR(A123),'ÖNYP kalkulátor'!$E$15:$J$75,4),0))</f>
        <v>0.03</v>
      </c>
      <c r="M123" s="8">
        <f t="shared" ca="1" si="23"/>
        <v>41527.016121733373</v>
      </c>
      <c r="N123" s="8">
        <f t="shared" ca="1" si="24"/>
        <v>13842.338707244457</v>
      </c>
      <c r="O123" s="8">
        <f t="shared" ca="1" si="18"/>
        <v>55369.354828977826</v>
      </c>
      <c r="P123" s="8">
        <f t="shared" ca="1" si="19"/>
        <v>51647.193539239153</v>
      </c>
      <c r="Q123" s="8">
        <f t="shared" ca="1" si="20"/>
        <v>51647.193539239153</v>
      </c>
      <c r="R123" s="13">
        <v>150000</v>
      </c>
      <c r="S123" s="13">
        <f ca="1">MIN(IF(AND(MONTH(A123)=5,'ÖNYP kalkulátor'!$IU$6="igen"),(M123+N123)*12/(1+IF('ÖNYP kalkulátor'!$C$16="nem",0,VLOOKUP(YEAR(A123),'ÖNYP kalkulátor'!$E$15:$J$75,4)))*0.2,0),R123)</f>
        <v>0</v>
      </c>
      <c r="T123" s="4">
        <f ca="1">(1+VLOOKUP(YEAR(A123),'ÖNYP kalkulátor'!$E$15:$F$75,2,FALSE)+VLOOKUP(YEAR(A123),'ÖNYP kalkulátor'!$E$15:$I$75,5,FALSE))^(1/12)-1</f>
        <v>4.0741237836483535E-3</v>
      </c>
      <c r="U123" s="8">
        <f t="shared" ca="1" si="15"/>
        <v>34770.671917746076</v>
      </c>
      <c r="V123" s="14">
        <f t="shared" ca="1" si="16"/>
        <v>8569286.0092522316</v>
      </c>
      <c r="W123" s="8">
        <f t="shared" ca="1" si="17"/>
        <v>6350480.9291032935</v>
      </c>
    </row>
    <row r="124" spans="1:23" x14ac:dyDescent="0.2">
      <c r="A124" s="6">
        <f t="shared" ca="1" si="21"/>
        <v>49341</v>
      </c>
      <c r="B124" s="12">
        <f t="shared" ca="1" si="22"/>
        <v>2</v>
      </c>
      <c r="C124" s="7">
        <f ca="1">(YEAR(A124)-YEAR('ÖNYP kalkulátor'!$C$10))+(MONTH(CF!A124)-MONTH('ÖNYP kalkulátor'!$C$10)-1)/12</f>
        <v>53.666666666666664</v>
      </c>
      <c r="D124" s="4">
        <f ca="1">(1+VLOOKUP(YEAR(A124),'ÖNYP kalkulátor'!$E$15:$F$75,2,FALSE))^(1/12)-1</f>
        <v>2.4662697723036864E-3</v>
      </c>
      <c r="E124" s="4">
        <f t="shared" ca="1" si="25"/>
        <v>1.35271962489305</v>
      </c>
      <c r="F124" s="8">
        <f t="shared" ca="1" si="26"/>
        <v>8569286.0092522316</v>
      </c>
      <c r="G124" s="8">
        <v>10000</v>
      </c>
      <c r="H124" s="8">
        <v>250000</v>
      </c>
      <c r="I124" s="8">
        <v>500000</v>
      </c>
      <c r="J124" s="8">
        <v>750000</v>
      </c>
      <c r="K124" s="8"/>
      <c r="L124" s="4">
        <f ca="1">+IF('ÖNYP kalkulátor'!$C$16="nem",0,
IF(MONTH(A124)=1,VLOOKUP(YEAR(A124),'ÖNYP kalkulátor'!$E$15:$J$75,4),0))</f>
        <v>0</v>
      </c>
      <c r="M124" s="8">
        <f t="shared" ca="1" si="23"/>
        <v>41527.016121733373</v>
      </c>
      <c r="N124" s="8">
        <f t="shared" ca="1" si="24"/>
        <v>13842.338707244457</v>
      </c>
      <c r="O124" s="8">
        <f t="shared" ca="1" si="18"/>
        <v>110738.70965795565</v>
      </c>
      <c r="P124" s="8">
        <f t="shared" ca="1" si="19"/>
        <v>103694.38707847831</v>
      </c>
      <c r="Q124" s="8">
        <f t="shared" ca="1" si="20"/>
        <v>52047.193539239153</v>
      </c>
      <c r="R124" s="13">
        <v>150000</v>
      </c>
      <c r="S124" s="13">
        <f ca="1">MIN(IF(AND(MONTH(A124)=5,'ÖNYP kalkulátor'!$IU$6="igen"),(M124+N124)*12/(1+IF('ÖNYP kalkulátor'!$C$16="nem",0,VLOOKUP(YEAR(A124),'ÖNYP kalkulátor'!$E$15:$J$75,4)))*0.2,0),R124)</f>
        <v>0</v>
      </c>
      <c r="T124" s="4">
        <f ca="1">(1+VLOOKUP(YEAR(A124),'ÖNYP kalkulátor'!$E$15:$F$75,2,FALSE)+VLOOKUP(YEAR(A124),'ÖNYP kalkulátor'!$E$15:$I$75,5,FALSE))^(1/12)-1</f>
        <v>4.0741237836483535E-3</v>
      </c>
      <c r="U124" s="8">
        <f t="shared" ca="1" si="15"/>
        <v>35124.378648249964</v>
      </c>
      <c r="V124" s="14">
        <f t="shared" ca="1" si="16"/>
        <v>8656457.5814397205</v>
      </c>
      <c r="W124" s="8">
        <f t="shared" ca="1" si="17"/>
        <v>6399299.1763715455</v>
      </c>
    </row>
    <row r="125" spans="1:23" x14ac:dyDescent="0.2">
      <c r="A125" s="6">
        <f t="shared" ca="1" si="21"/>
        <v>49369</v>
      </c>
      <c r="B125" s="12">
        <f t="shared" ca="1" si="22"/>
        <v>3</v>
      </c>
      <c r="C125" s="7">
        <f ca="1">(YEAR(A125)-YEAR('ÖNYP kalkulátor'!$C$10))+(MONTH(CF!A125)-MONTH('ÖNYP kalkulátor'!$C$10)-1)/12</f>
        <v>53.75</v>
      </c>
      <c r="D125" s="4">
        <f ca="1">(1+VLOOKUP(YEAR(A125),'ÖNYP kalkulátor'!$E$15:$F$75,2,FALSE))^(1/12)-1</f>
        <v>2.4662697723036864E-3</v>
      </c>
      <c r="E125" s="4">
        <f t="shared" ca="1" si="25"/>
        <v>1.3560557964143256</v>
      </c>
      <c r="F125" s="8">
        <f t="shared" ca="1" si="26"/>
        <v>8656457.5814397205</v>
      </c>
      <c r="G125" s="8">
        <v>10000</v>
      </c>
      <c r="H125" s="8">
        <v>250000</v>
      </c>
      <c r="I125" s="8">
        <v>500000</v>
      </c>
      <c r="J125" s="8">
        <v>750000</v>
      </c>
      <c r="K125" s="8"/>
      <c r="L125" s="4">
        <f ca="1">+IF('ÖNYP kalkulátor'!$C$16="nem",0,
IF(MONTH(A125)=1,VLOOKUP(YEAR(A125),'ÖNYP kalkulátor'!$E$15:$J$75,4),0))</f>
        <v>0</v>
      </c>
      <c r="M125" s="8">
        <f t="shared" ca="1" si="23"/>
        <v>41527.016121733373</v>
      </c>
      <c r="N125" s="8">
        <f t="shared" ca="1" si="24"/>
        <v>13842.338707244457</v>
      </c>
      <c r="O125" s="8">
        <f t="shared" ca="1" si="18"/>
        <v>166108.06448693349</v>
      </c>
      <c r="P125" s="8">
        <f t="shared" ca="1" si="19"/>
        <v>155741.58061771747</v>
      </c>
      <c r="Q125" s="8">
        <f t="shared" ca="1" si="20"/>
        <v>52047.193539239161</v>
      </c>
      <c r="R125" s="13">
        <v>150000</v>
      </c>
      <c r="S125" s="13">
        <f ca="1">MIN(IF(AND(MONTH(A125)=5,'ÖNYP kalkulátor'!$IU$6="igen"),(M125+N125)*12/(1+IF('ÖNYP kalkulátor'!$C$16="nem",0,VLOOKUP(YEAR(A125),'ÖNYP kalkulátor'!$E$15:$J$75,4)))*0.2,0),R125)</f>
        <v>0</v>
      </c>
      <c r="T125" s="4">
        <f ca="1">(1+VLOOKUP(YEAR(A125),'ÖNYP kalkulátor'!$E$15:$F$75,2,FALSE)+VLOOKUP(YEAR(A125),'ÖNYP kalkulátor'!$E$15:$I$75,5,FALSE))^(1/12)-1</f>
        <v>4.0741237836483535E-3</v>
      </c>
      <c r="U125" s="8">
        <f t="shared" ca="1" si="15"/>
        <v>35479.52642375703</v>
      </c>
      <c r="V125" s="14">
        <f t="shared" ca="1" si="16"/>
        <v>8743984.3014027178</v>
      </c>
      <c r="W125" s="8">
        <f t="shared" ca="1" si="17"/>
        <v>6448100.678838959</v>
      </c>
    </row>
    <row r="126" spans="1:23" x14ac:dyDescent="0.2">
      <c r="A126" s="6">
        <f t="shared" ca="1" si="21"/>
        <v>49400</v>
      </c>
      <c r="B126" s="12">
        <f t="shared" ca="1" si="22"/>
        <v>4</v>
      </c>
      <c r="C126" s="7">
        <f ca="1">(YEAR(A126)-YEAR('ÖNYP kalkulátor'!$C$10))+(MONTH(CF!A126)-MONTH('ÖNYP kalkulátor'!$C$10)-1)/12</f>
        <v>53.833333333333336</v>
      </c>
      <c r="D126" s="4">
        <f ca="1">(1+VLOOKUP(YEAR(A126),'ÖNYP kalkulátor'!$E$15:$F$75,2,FALSE))^(1/12)-1</f>
        <v>2.4662697723036864E-3</v>
      </c>
      <c r="E126" s="4">
        <f t="shared" ca="1" si="25"/>
        <v>1.3594001958345794</v>
      </c>
      <c r="F126" s="8">
        <f t="shared" ca="1" si="26"/>
        <v>8743984.3014027178</v>
      </c>
      <c r="G126" s="8">
        <v>10000</v>
      </c>
      <c r="H126" s="8">
        <v>250000</v>
      </c>
      <c r="I126" s="8">
        <v>500000</v>
      </c>
      <c r="J126" s="8">
        <v>750000</v>
      </c>
      <c r="K126" s="8"/>
      <c r="L126" s="4">
        <f ca="1">+IF('ÖNYP kalkulátor'!$C$16="nem",0,
IF(MONTH(A126)=1,VLOOKUP(YEAR(A126),'ÖNYP kalkulátor'!$E$15:$J$75,4),0))</f>
        <v>0</v>
      </c>
      <c r="M126" s="8">
        <f t="shared" ca="1" si="23"/>
        <v>41527.016121733373</v>
      </c>
      <c r="N126" s="8">
        <f t="shared" ca="1" si="24"/>
        <v>13842.338707244457</v>
      </c>
      <c r="O126" s="8">
        <f t="shared" ca="1" si="18"/>
        <v>221477.41931591133</v>
      </c>
      <c r="P126" s="8">
        <f t="shared" ca="1" si="19"/>
        <v>207788.77415695664</v>
      </c>
      <c r="Q126" s="8">
        <f t="shared" ca="1" si="20"/>
        <v>52047.193539239175</v>
      </c>
      <c r="R126" s="13">
        <v>150000</v>
      </c>
      <c r="S126" s="13">
        <f ca="1">MIN(IF(AND(MONTH(A126)=5,'ÖNYP kalkulátor'!$IU$6="igen"),(M126+N126)*12/(1+IF('ÖNYP kalkulátor'!$C$16="nem",0,VLOOKUP(YEAR(A126),'ÖNYP kalkulátor'!$E$15:$J$75,4)))*0.2,0),R126)</f>
        <v>0</v>
      </c>
      <c r="T126" s="4">
        <f ca="1">(1+VLOOKUP(YEAR(A126),'ÖNYP kalkulátor'!$E$15:$F$75,2,FALSE)+VLOOKUP(YEAR(A126),'ÖNYP kalkulátor'!$E$15:$I$75,5,FALSE))^(1/12)-1</f>
        <v>4.0741237836483535E-3</v>
      </c>
      <c r="U126" s="8">
        <f t="shared" ca="1" si="15"/>
        <v>35836.121115263013</v>
      </c>
      <c r="V126" s="14">
        <f t="shared" ca="1" si="16"/>
        <v>8831867.6160572208</v>
      </c>
      <c r="W126" s="8">
        <f t="shared" ca="1" si="17"/>
        <v>6496885.6434767935</v>
      </c>
    </row>
    <row r="127" spans="1:23" x14ac:dyDescent="0.2">
      <c r="A127" s="6">
        <f t="shared" ca="1" si="21"/>
        <v>49430</v>
      </c>
      <c r="B127" s="12">
        <f t="shared" ca="1" si="22"/>
        <v>5</v>
      </c>
      <c r="C127" s="7">
        <f ca="1">(YEAR(A127)-YEAR('ÖNYP kalkulátor'!$C$10))+(MONTH(CF!A127)-MONTH('ÖNYP kalkulátor'!$C$10)-1)/12</f>
        <v>53.916666666666664</v>
      </c>
      <c r="D127" s="4">
        <f ca="1">(1+VLOOKUP(YEAR(A127),'ÖNYP kalkulátor'!$E$15:$F$75,2,FALSE))^(1/12)-1</f>
        <v>2.4662697723036864E-3</v>
      </c>
      <c r="E127" s="4">
        <f t="shared" ca="1" si="25"/>
        <v>1.3627528434460299</v>
      </c>
      <c r="F127" s="8">
        <f t="shared" ca="1" si="26"/>
        <v>8831867.6160572208</v>
      </c>
      <c r="G127" s="8">
        <v>10000</v>
      </c>
      <c r="H127" s="8">
        <v>250000</v>
      </c>
      <c r="I127" s="8">
        <v>500000</v>
      </c>
      <c r="J127" s="8">
        <v>750000</v>
      </c>
      <c r="K127" s="8"/>
      <c r="L127" s="4">
        <f ca="1">+IF('ÖNYP kalkulátor'!$C$16="nem",0,
IF(MONTH(A127)=1,VLOOKUP(YEAR(A127),'ÖNYP kalkulátor'!$E$15:$J$75,4),0))</f>
        <v>0</v>
      </c>
      <c r="M127" s="8">
        <f t="shared" ca="1" si="23"/>
        <v>41527.016121733373</v>
      </c>
      <c r="N127" s="8">
        <f t="shared" ca="1" si="24"/>
        <v>13842.338707244457</v>
      </c>
      <c r="O127" s="8">
        <f t="shared" ca="1" si="18"/>
        <v>276846.77414488915</v>
      </c>
      <c r="P127" s="8">
        <f t="shared" ca="1" si="19"/>
        <v>260104.43543764469</v>
      </c>
      <c r="Q127" s="8">
        <f t="shared" ca="1" si="20"/>
        <v>52315.661280688044</v>
      </c>
      <c r="R127" s="13">
        <v>150000</v>
      </c>
      <c r="S127" s="13">
        <f ca="1">MIN(IF(AND(MONTH(A127)=5,'ÖNYP kalkulátor'!$IU$6="igen"),(M127+N127)*12/(1+IF('ÖNYP kalkulátor'!$C$16="nem",0,VLOOKUP(YEAR(A127),'ÖNYP kalkulátor'!$E$15:$J$75,4)))*0.2,0),R127)</f>
        <v>129015.97241703571</v>
      </c>
      <c r="T127" s="4">
        <f ca="1">(1+VLOOKUP(YEAR(A127),'ÖNYP kalkulátor'!$E$15:$F$75,2,FALSE)+VLOOKUP(YEAR(A127),'ÖNYP kalkulátor'!$E$15:$I$75,5,FALSE))^(1/12)-1</f>
        <v>4.0741237836483535E-3</v>
      </c>
      <c r="U127" s="8">
        <f t="shared" ca="1" si="15"/>
        <v>36720.889430188116</v>
      </c>
      <c r="V127" s="14">
        <f t="shared" ca="1" si="16"/>
        <v>9049920.1391851325</v>
      </c>
      <c r="W127" s="8">
        <f t="shared" ca="1" si="17"/>
        <v>6640910.8465335174</v>
      </c>
    </row>
    <row r="128" spans="1:23" x14ac:dyDescent="0.2">
      <c r="A128" s="6">
        <f t="shared" ca="1" si="21"/>
        <v>49461</v>
      </c>
      <c r="B128" s="12">
        <f t="shared" ca="1" si="22"/>
        <v>6</v>
      </c>
      <c r="C128" s="7">
        <f ca="1">(YEAR(A128)-YEAR('ÖNYP kalkulátor'!$C$10))+(MONTH(CF!A128)-MONTH('ÖNYP kalkulátor'!$C$10)-1)/12</f>
        <v>54</v>
      </c>
      <c r="D128" s="4">
        <f ca="1">(1+VLOOKUP(YEAR(A128),'ÖNYP kalkulátor'!$E$15:$F$75,2,FALSE))^(1/12)-1</f>
        <v>2.4662697723036864E-3</v>
      </c>
      <c r="E128" s="4">
        <f t="shared" ca="1" si="25"/>
        <v>1.3661137595909416</v>
      </c>
      <c r="F128" s="8">
        <f t="shared" ca="1" si="26"/>
        <v>9049920.1391851325</v>
      </c>
      <c r="G128" s="8">
        <v>10000</v>
      </c>
      <c r="H128" s="8">
        <v>250000</v>
      </c>
      <c r="I128" s="8">
        <v>500000</v>
      </c>
      <c r="J128" s="8">
        <v>750000</v>
      </c>
      <c r="K128" s="8"/>
      <c r="L128" s="4">
        <f ca="1">+IF('ÖNYP kalkulátor'!$C$16="nem",0,
IF(MONTH(A128)=1,VLOOKUP(YEAR(A128),'ÖNYP kalkulátor'!$E$15:$J$75,4),0))</f>
        <v>0</v>
      </c>
      <c r="M128" s="8">
        <f t="shared" ca="1" si="23"/>
        <v>41527.016121733373</v>
      </c>
      <c r="N128" s="8">
        <f t="shared" ca="1" si="24"/>
        <v>13842.338707244457</v>
      </c>
      <c r="O128" s="8">
        <f t="shared" ca="1" si="18"/>
        <v>332216.12897386693</v>
      </c>
      <c r="P128" s="8">
        <f t="shared" ca="1" si="19"/>
        <v>312705.3225251736</v>
      </c>
      <c r="Q128" s="8">
        <f t="shared" ca="1" si="20"/>
        <v>52600.887087528914</v>
      </c>
      <c r="R128" s="13">
        <v>150000</v>
      </c>
      <c r="S128" s="13">
        <f ca="1">MIN(IF(AND(MONTH(A128)=5,'ÖNYP kalkulátor'!$IU$6="igen"),(M128+N128)*12/(1+IF('ÖNYP kalkulátor'!$C$16="nem",0,VLOOKUP(YEAR(A128),'ÖNYP kalkulátor'!$E$15:$J$75,4)))*0.2,0),R128)</f>
        <v>0</v>
      </c>
      <c r="T128" s="4">
        <f ca="1">(1+VLOOKUP(YEAR(A128),'ÖNYP kalkulátor'!$E$15:$F$75,2,FALSE)+VLOOKUP(YEAR(A128),'ÖNYP kalkulátor'!$E$15:$I$75,5,FALSE))^(1/12)-1</f>
        <v>4.0741237836483535E-3</v>
      </c>
      <c r="U128" s="8">
        <f t="shared" ca="1" si="15"/>
        <v>37084.797404296674</v>
      </c>
      <c r="V128" s="14">
        <f t="shared" ca="1" si="16"/>
        <v>9139605.8236769587</v>
      </c>
      <c r="W128" s="8">
        <f t="shared" ca="1" si="17"/>
        <v>6690223.0941687096</v>
      </c>
    </row>
    <row r="129" spans="1:23" x14ac:dyDescent="0.2">
      <c r="A129" s="6">
        <f t="shared" ca="1" si="21"/>
        <v>49491</v>
      </c>
      <c r="B129" s="12">
        <f t="shared" ca="1" si="22"/>
        <v>7</v>
      </c>
      <c r="C129" s="7">
        <f ca="1">(YEAR(A129)-YEAR('ÖNYP kalkulátor'!$C$10))+(MONTH(CF!A129)-MONTH('ÖNYP kalkulátor'!$C$10)-1)/12</f>
        <v>54.083333333333336</v>
      </c>
      <c r="D129" s="4">
        <f ca="1">(1+VLOOKUP(YEAR(A129),'ÖNYP kalkulátor'!$E$15:$F$75,2,FALSE))^(1/12)-1</f>
        <v>2.4662697723036864E-3</v>
      </c>
      <c r="E129" s="4">
        <f t="shared" ca="1" si="25"/>
        <v>1.3694829646617488</v>
      </c>
      <c r="F129" s="8">
        <f t="shared" ca="1" si="26"/>
        <v>9139605.8236769587</v>
      </c>
      <c r="G129" s="8">
        <v>10000</v>
      </c>
      <c r="H129" s="8">
        <v>250000</v>
      </c>
      <c r="I129" s="8">
        <v>500000</v>
      </c>
      <c r="J129" s="8">
        <v>750000</v>
      </c>
      <c r="K129" s="8"/>
      <c r="L129" s="4">
        <f ca="1">+IF('ÖNYP kalkulátor'!$C$16="nem",0,
IF(MONTH(A129)=1,VLOOKUP(YEAR(A129),'ÖNYP kalkulátor'!$E$15:$J$75,4),0))</f>
        <v>0</v>
      </c>
      <c r="M129" s="8">
        <f t="shared" ca="1" si="23"/>
        <v>41527.016121733373</v>
      </c>
      <c r="N129" s="8">
        <f t="shared" ca="1" si="24"/>
        <v>13842.338707244457</v>
      </c>
      <c r="O129" s="8">
        <f t="shared" ca="1" si="18"/>
        <v>387585.48380284471</v>
      </c>
      <c r="P129" s="8">
        <f t="shared" ca="1" si="19"/>
        <v>365306.20961270249</v>
      </c>
      <c r="Q129" s="8">
        <f t="shared" ca="1" si="20"/>
        <v>52600.887087528885</v>
      </c>
      <c r="R129" s="13">
        <v>150000</v>
      </c>
      <c r="S129" s="13">
        <f ca="1">MIN(IF(AND(MONTH(A129)=5,'ÖNYP kalkulátor'!$IU$6="igen"),(M129+N129)*12/(1+IF('ÖNYP kalkulátor'!$C$16="nem",0,VLOOKUP(YEAR(A129),'ÖNYP kalkulátor'!$E$15:$J$75,4)))*0.2,0),R129)</f>
        <v>0</v>
      </c>
      <c r="T129" s="4">
        <f ca="1">(1+VLOOKUP(YEAR(A129),'ÖNYP kalkulátor'!$E$15:$F$75,2,FALSE)+VLOOKUP(YEAR(A129),'ÖNYP kalkulátor'!$E$15:$I$75,5,FALSE))^(1/12)-1</f>
        <v>4.0741237836483535E-3</v>
      </c>
      <c r="U129" s="8">
        <f t="shared" ca="1" si="15"/>
        <v>37450.187984537602</v>
      </c>
      <c r="V129" s="14">
        <f t="shared" ca="1" si="16"/>
        <v>9229656.8987490255</v>
      </c>
      <c r="W129" s="8">
        <f t="shared" ca="1" si="17"/>
        <v>6739519.3200002136</v>
      </c>
    </row>
    <row r="130" spans="1:23" x14ac:dyDescent="0.2">
      <c r="A130" s="6">
        <f t="shared" ca="1" si="21"/>
        <v>49522</v>
      </c>
      <c r="B130" s="12">
        <f t="shared" ca="1" si="22"/>
        <v>8</v>
      </c>
      <c r="C130" s="7">
        <f ca="1">(YEAR(A130)-YEAR('ÖNYP kalkulátor'!$C$10))+(MONTH(CF!A130)-MONTH('ÖNYP kalkulátor'!$C$10)-1)/12</f>
        <v>54.166666666666664</v>
      </c>
      <c r="D130" s="4">
        <f ca="1">(1+VLOOKUP(YEAR(A130),'ÖNYP kalkulátor'!$E$15:$F$75,2,FALSE))^(1/12)-1</f>
        <v>2.4662697723036864E-3</v>
      </c>
      <c r="E130" s="4">
        <f t="shared" ca="1" si="25"/>
        <v>1.3728604791011789</v>
      </c>
      <c r="F130" s="8">
        <f t="shared" ca="1" si="26"/>
        <v>9229656.8987490255</v>
      </c>
      <c r="G130" s="8">
        <v>10000</v>
      </c>
      <c r="H130" s="8">
        <v>250000</v>
      </c>
      <c r="I130" s="8">
        <v>500000</v>
      </c>
      <c r="J130" s="8">
        <v>750000</v>
      </c>
      <c r="K130" s="8"/>
      <c r="L130" s="4">
        <f ca="1">+IF('ÖNYP kalkulátor'!$C$16="nem",0,
IF(MONTH(A130)=1,VLOOKUP(YEAR(A130),'ÖNYP kalkulátor'!$E$15:$J$75,4),0))</f>
        <v>0</v>
      </c>
      <c r="M130" s="8">
        <f t="shared" ca="1" si="23"/>
        <v>41527.016121733373</v>
      </c>
      <c r="N130" s="8">
        <f t="shared" ca="1" si="24"/>
        <v>13842.338707244457</v>
      </c>
      <c r="O130" s="8">
        <f t="shared" ca="1" si="18"/>
        <v>442954.83863182249</v>
      </c>
      <c r="P130" s="8">
        <f t="shared" ca="1" si="19"/>
        <v>417907.09670023137</v>
      </c>
      <c r="Q130" s="8">
        <f t="shared" ca="1" si="20"/>
        <v>52600.887087528885</v>
      </c>
      <c r="R130" s="13">
        <v>150000</v>
      </c>
      <c r="S130" s="13">
        <f ca="1">MIN(IF(AND(MONTH(A130)=5,'ÖNYP kalkulátor'!$IU$6="igen"),(M130+N130)*12/(1+IF('ÖNYP kalkulátor'!$C$16="nem",0,VLOOKUP(YEAR(A130),'ÖNYP kalkulátor'!$E$15:$J$75,4)))*0.2,0),R130)</f>
        <v>0</v>
      </c>
      <c r="T130" s="4">
        <f ca="1">(1+VLOOKUP(YEAR(A130),'ÖNYP kalkulátor'!$E$15:$F$75,2,FALSE)+VLOOKUP(YEAR(A130),'ÖNYP kalkulátor'!$E$15:$I$75,5,FALSE))^(1/12)-1</f>
        <v>4.0741237836483535E-3</v>
      </c>
      <c r="U130" s="8">
        <f t="shared" ref="U130:U193" ca="1" si="27">+(F130+Q130+S130)*T130</f>
        <v>37817.067211231813</v>
      </c>
      <c r="V130" s="14">
        <f t="shared" ref="V130:V193" ca="1" si="28">+F130+Q130+S130+U130</f>
        <v>9320074.8530477863</v>
      </c>
      <c r="W130" s="8">
        <f t="shared" ref="W130:W193" ca="1" si="29">+V130/E130</f>
        <v>6788799.7323294664</v>
      </c>
    </row>
    <row r="131" spans="1:23" x14ac:dyDescent="0.2">
      <c r="A131" s="6">
        <f t="shared" ca="1" si="21"/>
        <v>49553</v>
      </c>
      <c r="B131" s="12">
        <f t="shared" ca="1" si="22"/>
        <v>9</v>
      </c>
      <c r="C131" s="7">
        <f ca="1">(YEAR(A131)-YEAR('ÖNYP kalkulátor'!$C$10))+(MONTH(CF!A131)-MONTH('ÖNYP kalkulátor'!$C$10)-1)/12</f>
        <v>54.25</v>
      </c>
      <c r="D131" s="4">
        <f ca="1">(1+VLOOKUP(YEAR(A131),'ÖNYP kalkulátor'!$E$15:$F$75,2,FALSE))^(1/12)-1</f>
        <v>2.4662697723036864E-3</v>
      </c>
      <c r="E131" s="4">
        <f t="shared" ca="1" si="25"/>
        <v>1.3762463234023765</v>
      </c>
      <c r="F131" s="8">
        <f t="shared" ca="1" si="26"/>
        <v>9320074.8530477863</v>
      </c>
      <c r="G131" s="8">
        <v>10000</v>
      </c>
      <c r="H131" s="8">
        <v>250000</v>
      </c>
      <c r="I131" s="8">
        <v>500000</v>
      </c>
      <c r="J131" s="8">
        <v>750000</v>
      </c>
      <c r="K131" s="8"/>
      <c r="L131" s="4">
        <f ca="1">+IF('ÖNYP kalkulátor'!$C$16="nem",0,
IF(MONTH(A131)=1,VLOOKUP(YEAR(A131),'ÖNYP kalkulátor'!$E$15:$J$75,4),0))</f>
        <v>0</v>
      </c>
      <c r="M131" s="8">
        <f t="shared" ca="1" si="23"/>
        <v>41527.016121733373</v>
      </c>
      <c r="N131" s="8">
        <f t="shared" ca="1" si="24"/>
        <v>13842.338707244457</v>
      </c>
      <c r="O131" s="8">
        <f t="shared" ref="O131:O194" ca="1" si="30">IF(YEAR(A131)=YEAR(A130),O130+M131+N131,M131+N131)</f>
        <v>498324.19346080028</v>
      </c>
      <c r="P131" s="8">
        <f t="shared" ref="P131:P194" ca="1" si="31">IF(O131&lt;G131,O131*$G$1,0)
+IF(AND(O131&lt;H131,O131&gt;=G131),G131*$G$1+(O131-G131)*$H$1,0)
+IF(AND(O131&lt;I131,O131&gt;=H131),G131*$G$1+(H131-G131)*$H$1+(O131-H131)*$I$1,0)
+IF(AND(O131&lt;J131,O131&gt;=I131),G131*$G$1+(H131-G131)*$H$1+(I131-H131)*$I$1+(O131-I131)*$J$1,0)
+IF(AND(O131&gt;=J131),G131*$G$1+(H131-G131)*$H$1+(I131-H131)*$I$1+(J131-I131)*$J$1+(O131-J131)*$K$1,0)</f>
        <v>470507.98378776025</v>
      </c>
      <c r="Q131" s="8">
        <f t="shared" ref="Q131:Q194" ca="1" si="32">IF(YEAR(A131)=YEAR(A130),P131-P130,P131)</f>
        <v>52600.887087528885</v>
      </c>
      <c r="R131" s="13">
        <v>150000</v>
      </c>
      <c r="S131" s="13">
        <f ca="1">MIN(IF(AND(MONTH(A131)=5,'ÖNYP kalkulátor'!$IU$6="igen"),(M131+N131)*12/(1+IF('ÖNYP kalkulátor'!$C$16="nem",0,VLOOKUP(YEAR(A131),'ÖNYP kalkulátor'!$E$15:$J$75,4)))*0.2,0),R131)</f>
        <v>0</v>
      </c>
      <c r="T131" s="4">
        <f ca="1">(1+VLOOKUP(YEAR(A131),'ÖNYP kalkulátor'!$E$15:$F$75,2,FALSE)+VLOOKUP(YEAR(A131),'ÖNYP kalkulátor'!$E$15:$I$75,5,FALSE))^(1/12)-1</f>
        <v>4.0741237836483535E-3</v>
      </c>
      <c r="U131" s="8">
        <f t="shared" ca="1" si="27"/>
        <v>38185.441149309227</v>
      </c>
      <c r="V131" s="14">
        <f t="shared" ca="1" si="28"/>
        <v>9410861.1812846251</v>
      </c>
      <c r="W131" s="8">
        <f t="shared" ca="1" si="29"/>
        <v>6838064.5392163191</v>
      </c>
    </row>
    <row r="132" spans="1:23" x14ac:dyDescent="0.2">
      <c r="A132" s="6">
        <f t="shared" ref="A132:A195" ca="1" si="33">+DATE(YEAR(A131),MONTH(A131)+1,1)</f>
        <v>49583</v>
      </c>
      <c r="B132" s="12">
        <f t="shared" ref="B132:B195" ca="1" si="34">+IF(YEAR(A132)=YEAR(A131),B131+1,1)</f>
        <v>10</v>
      </c>
      <c r="C132" s="7">
        <f ca="1">(YEAR(A132)-YEAR('ÖNYP kalkulátor'!$C$10))+(MONTH(CF!A132)-MONTH('ÖNYP kalkulátor'!$C$10)-1)/12</f>
        <v>54.333333333333336</v>
      </c>
      <c r="D132" s="4">
        <f ca="1">(1+VLOOKUP(YEAR(A132),'ÖNYP kalkulátor'!$E$15:$F$75,2,FALSE))^(1/12)-1</f>
        <v>2.4662697723036864E-3</v>
      </c>
      <c r="E132" s="4">
        <f t="shared" ca="1" si="25"/>
        <v>1.3796405181090279</v>
      </c>
      <c r="F132" s="8">
        <f t="shared" ca="1" si="26"/>
        <v>9410861.1812846251</v>
      </c>
      <c r="G132" s="8">
        <v>10000</v>
      </c>
      <c r="H132" s="8">
        <v>250000</v>
      </c>
      <c r="I132" s="8">
        <v>500000</v>
      </c>
      <c r="J132" s="8">
        <v>750000</v>
      </c>
      <c r="K132" s="8"/>
      <c r="L132" s="4">
        <f ca="1">+IF('ÖNYP kalkulátor'!$C$16="nem",0,
IF(MONTH(A132)=1,VLOOKUP(YEAR(A132),'ÖNYP kalkulátor'!$E$15:$J$75,4),0))</f>
        <v>0</v>
      </c>
      <c r="M132" s="8">
        <f t="shared" ref="M132:M195" ca="1" si="35">M131*(1+L132)</f>
        <v>41527.016121733373</v>
      </c>
      <c r="N132" s="8">
        <f t="shared" ref="N132:N195" ca="1" si="36">N131*(1+L132)</f>
        <v>13842.338707244457</v>
      </c>
      <c r="O132" s="8">
        <f t="shared" ca="1" si="30"/>
        <v>553693.54828977818</v>
      </c>
      <c r="P132" s="8">
        <f t="shared" ca="1" si="31"/>
        <v>524719.67732398259</v>
      </c>
      <c r="Q132" s="8">
        <f t="shared" ca="1" si="32"/>
        <v>54211.69353622233</v>
      </c>
      <c r="R132" s="13">
        <v>150000</v>
      </c>
      <c r="S132" s="13">
        <f ca="1">MIN(IF(AND(MONTH(A132)=5,'ÖNYP kalkulátor'!$IU$6="igen"),(M132+N132)*12/(1+IF('ÖNYP kalkulátor'!$C$16="nem",0,VLOOKUP(YEAR(A132),'ÖNYP kalkulátor'!$E$15:$J$75,4)))*0.2,0),R132)</f>
        <v>0</v>
      </c>
      <c r="T132" s="4">
        <f ca="1">(1+VLOOKUP(YEAR(A132),'ÖNYP kalkulátor'!$E$15:$F$75,2,FALSE)+VLOOKUP(YEAR(A132),'ÖNYP kalkulátor'!$E$15:$I$75,5,FALSE))^(1/12)-1</f>
        <v>4.0741237836483535E-3</v>
      </c>
      <c r="U132" s="8">
        <f t="shared" ca="1" si="27"/>
        <v>38561.87851327251</v>
      </c>
      <c r="V132" s="14">
        <f t="shared" ca="1" si="28"/>
        <v>9503634.7533341199</v>
      </c>
      <c r="W132" s="8">
        <f t="shared" ca="1" si="29"/>
        <v>6888486.260435476</v>
      </c>
    </row>
    <row r="133" spans="1:23" x14ac:dyDescent="0.2">
      <c r="A133" s="6">
        <f t="shared" ca="1" si="33"/>
        <v>49614</v>
      </c>
      <c r="B133" s="12">
        <f t="shared" ca="1" si="34"/>
        <v>11</v>
      </c>
      <c r="C133" s="7">
        <f ca="1">(YEAR(A133)-YEAR('ÖNYP kalkulátor'!$C$10))+(MONTH(CF!A133)-MONTH('ÖNYP kalkulátor'!$C$10)-1)/12</f>
        <v>54.416666666666664</v>
      </c>
      <c r="D133" s="4">
        <f ca="1">(1+VLOOKUP(YEAR(A133),'ÖNYP kalkulátor'!$E$15:$F$75,2,FALSE))^(1/12)-1</f>
        <v>2.4662697723036864E-3</v>
      </c>
      <c r="E133" s="4">
        <f t="shared" ca="1" si="25"/>
        <v>1.3830430838154855</v>
      </c>
      <c r="F133" s="8">
        <f t="shared" ca="1" si="26"/>
        <v>9503634.7533341199</v>
      </c>
      <c r="G133" s="8">
        <v>10000</v>
      </c>
      <c r="H133" s="8">
        <v>250000</v>
      </c>
      <c r="I133" s="8">
        <v>500000</v>
      </c>
      <c r="J133" s="8">
        <v>750000</v>
      </c>
      <c r="K133" s="8"/>
      <c r="L133" s="4">
        <f ca="1">+IF('ÖNYP kalkulátor'!$C$16="nem",0,
IF(MONTH(A133)=1,VLOOKUP(YEAR(A133),'ÖNYP kalkulátor'!$E$15:$J$75,4),0))</f>
        <v>0</v>
      </c>
      <c r="M133" s="8">
        <f t="shared" ca="1" si="35"/>
        <v>41527.016121733373</v>
      </c>
      <c r="N133" s="8">
        <f t="shared" ca="1" si="36"/>
        <v>13842.338707244457</v>
      </c>
      <c r="O133" s="8">
        <f t="shared" ca="1" si="30"/>
        <v>609062.90311875602</v>
      </c>
      <c r="P133" s="8">
        <f t="shared" ca="1" si="31"/>
        <v>578981.64505638089</v>
      </c>
      <c r="Q133" s="8">
        <f t="shared" ca="1" si="32"/>
        <v>54261.967732398305</v>
      </c>
      <c r="R133" s="13">
        <v>150000</v>
      </c>
      <c r="S133" s="13">
        <f ca="1">MIN(IF(AND(MONTH(A133)=5,'ÖNYP kalkulátor'!$IU$6="igen"),(M133+N133)*12/(1+IF('ÖNYP kalkulátor'!$C$16="nem",0,VLOOKUP(YEAR(A133),'ÖNYP kalkulátor'!$E$15:$J$75,4)))*0.2,0),R133)</f>
        <v>0</v>
      </c>
      <c r="T133" s="4">
        <f ca="1">(1+VLOOKUP(YEAR(A133),'ÖNYP kalkulátor'!$E$15:$F$75,2,FALSE)+VLOOKUP(YEAR(A133),'ÖNYP kalkulátor'!$E$15:$I$75,5,FALSE))^(1/12)-1</f>
        <v>4.0741237836483535E-3</v>
      </c>
      <c r="U133" s="8">
        <f t="shared" ca="1" si="27"/>
        <v>38940.054352951716</v>
      </c>
      <c r="V133" s="14">
        <f t="shared" ca="1" si="28"/>
        <v>9596836.7754194699</v>
      </c>
      <c r="W133" s="8">
        <f t="shared" ca="1" si="29"/>
        <v>6938928.2862715237</v>
      </c>
    </row>
    <row r="134" spans="1:23" x14ac:dyDescent="0.2">
      <c r="A134" s="6">
        <f t="shared" ca="1" si="33"/>
        <v>49644</v>
      </c>
      <c r="B134" s="12">
        <f t="shared" ca="1" si="34"/>
        <v>12</v>
      </c>
      <c r="C134" s="7">
        <f ca="1">(YEAR(A134)-YEAR('ÖNYP kalkulátor'!$C$10))+(MONTH(CF!A134)-MONTH('ÖNYP kalkulátor'!$C$10)-1)/12</f>
        <v>54.5</v>
      </c>
      <c r="D134" s="4">
        <f ca="1">(1+VLOOKUP(YEAR(A134),'ÖNYP kalkulátor'!$E$15:$F$75,2,FALSE))^(1/12)-1</f>
        <v>2.4662697723036864E-3</v>
      </c>
      <c r="E134" s="4">
        <f t="shared" ca="1" si="25"/>
        <v>1.3864540411668933</v>
      </c>
      <c r="F134" s="8">
        <f t="shared" ca="1" si="26"/>
        <v>9596836.7754194699</v>
      </c>
      <c r="G134" s="8">
        <v>10000</v>
      </c>
      <c r="H134" s="8">
        <v>250000</v>
      </c>
      <c r="I134" s="8">
        <v>500000</v>
      </c>
      <c r="J134" s="8">
        <v>750000</v>
      </c>
      <c r="K134" s="8"/>
      <c r="L134" s="4">
        <f ca="1">+IF('ÖNYP kalkulátor'!$C$16="nem",0,
IF(MONTH(A134)=1,VLOOKUP(YEAR(A134),'ÖNYP kalkulátor'!$E$15:$J$75,4),0))</f>
        <v>0</v>
      </c>
      <c r="M134" s="8">
        <f t="shared" ca="1" si="35"/>
        <v>41527.016121733373</v>
      </c>
      <c r="N134" s="8">
        <f t="shared" ca="1" si="36"/>
        <v>13842.338707244457</v>
      </c>
      <c r="O134" s="8">
        <f t="shared" ca="1" si="30"/>
        <v>664432.25794773386</v>
      </c>
      <c r="P134" s="8">
        <f t="shared" ca="1" si="31"/>
        <v>633243.6127887792</v>
      </c>
      <c r="Q134" s="8">
        <f t="shared" ca="1" si="32"/>
        <v>54261.967732398305</v>
      </c>
      <c r="R134" s="13">
        <v>150000</v>
      </c>
      <c r="S134" s="13">
        <f ca="1">MIN(IF(AND(MONTH(A134)=5,'ÖNYP kalkulátor'!$IU$6="igen"),(M134+N134)*12/(1+IF('ÖNYP kalkulátor'!$C$16="nem",0,VLOOKUP(YEAR(A134),'ÖNYP kalkulátor'!$E$15:$J$75,4)))*0.2,0),R134)</f>
        <v>0</v>
      </c>
      <c r="T134" s="4">
        <f ca="1">(1+VLOOKUP(YEAR(A134),'ÖNYP kalkulátor'!$E$15:$F$75,2,FALSE)+VLOOKUP(YEAR(A134),'ÖNYP kalkulátor'!$E$15:$I$75,5,FALSE))^(1/12)-1</f>
        <v>4.0741237836483535E-3</v>
      </c>
      <c r="U134" s="8">
        <f t="shared" ca="1" si="27"/>
        <v>39319.770927813755</v>
      </c>
      <c r="V134" s="14">
        <f t="shared" ca="1" si="28"/>
        <v>9690418.5140796807</v>
      </c>
      <c r="W134" s="8">
        <f t="shared" ca="1" si="29"/>
        <v>6989354.2997818012</v>
      </c>
    </row>
    <row r="135" spans="1:23" x14ac:dyDescent="0.2">
      <c r="A135" s="6">
        <f t="shared" ca="1" si="33"/>
        <v>49675</v>
      </c>
      <c r="B135" s="12">
        <f t="shared" ca="1" si="34"/>
        <v>1</v>
      </c>
      <c r="C135" s="7">
        <f ca="1">(YEAR(A135)-YEAR('ÖNYP kalkulátor'!$C$10))+(MONTH(CF!A135)-MONTH('ÖNYP kalkulátor'!$C$10)-1)/12</f>
        <v>54.583333333333336</v>
      </c>
      <c r="D135" s="4">
        <f ca="1">(1+VLOOKUP(YEAR(A135),'ÖNYP kalkulátor'!$E$15:$F$75,2,FALSE))^(1/12)-1</f>
        <v>2.4662697723036864E-3</v>
      </c>
      <c r="E135" s="4">
        <f t="shared" ca="1" si="25"/>
        <v>1.3898734108593116</v>
      </c>
      <c r="F135" s="8">
        <f t="shared" ca="1" si="26"/>
        <v>9690418.5140796807</v>
      </c>
      <c r="G135" s="8">
        <v>10000</v>
      </c>
      <c r="H135" s="8">
        <v>250000</v>
      </c>
      <c r="I135" s="8">
        <v>500000</v>
      </c>
      <c r="J135" s="8">
        <v>750000</v>
      </c>
      <c r="K135" s="8"/>
      <c r="L135" s="4">
        <f ca="1">+IF('ÖNYP kalkulátor'!$C$16="nem",0,
IF(MONTH(A135)=1,VLOOKUP(YEAR(A135),'ÖNYP kalkulátor'!$E$15:$J$75,4),0))</f>
        <v>0.03</v>
      </c>
      <c r="M135" s="8">
        <f t="shared" ca="1" si="35"/>
        <v>42772.826605385373</v>
      </c>
      <c r="N135" s="8">
        <f t="shared" ca="1" si="36"/>
        <v>14257.60886846179</v>
      </c>
      <c r="O135" s="8">
        <f t="shared" ca="1" si="30"/>
        <v>57030.435473847159</v>
      </c>
      <c r="P135" s="8">
        <f t="shared" ca="1" si="31"/>
        <v>53208.609345416327</v>
      </c>
      <c r="Q135" s="8">
        <f t="shared" ca="1" si="32"/>
        <v>53208.609345416327</v>
      </c>
      <c r="R135" s="13">
        <v>150000</v>
      </c>
      <c r="S135" s="13">
        <f ca="1">MIN(IF(AND(MONTH(A135)=5,'ÖNYP kalkulátor'!$IU$6="igen"),(M135+N135)*12/(1+IF('ÖNYP kalkulátor'!$C$16="nem",0,VLOOKUP(YEAR(A135),'ÖNYP kalkulátor'!$E$15:$J$75,4)))*0.2,0),R135)</f>
        <v>0</v>
      </c>
      <c r="T135" s="4">
        <f ca="1">(1+VLOOKUP(YEAR(A135),'ÖNYP kalkulátor'!$E$15:$F$75,2,FALSE)+VLOOKUP(YEAR(A135),'ÖNYP kalkulátor'!$E$15:$I$75,5,FALSE))^(1/12)-1</f>
        <v>4.0741237836483535E-3</v>
      </c>
      <c r="U135" s="8">
        <f t="shared" ca="1" si="27"/>
        <v>39696.743002547373</v>
      </c>
      <c r="V135" s="14">
        <f t="shared" ca="1" si="28"/>
        <v>9783323.8664276432</v>
      </c>
      <c r="W135" s="8">
        <f t="shared" ca="1" si="29"/>
        <v>7039003.5452070022</v>
      </c>
    </row>
    <row r="136" spans="1:23" x14ac:dyDescent="0.2">
      <c r="A136" s="6">
        <f t="shared" ca="1" si="33"/>
        <v>49706</v>
      </c>
      <c r="B136" s="12">
        <f t="shared" ca="1" si="34"/>
        <v>2</v>
      </c>
      <c r="C136" s="7">
        <f ca="1">(YEAR(A136)-YEAR('ÖNYP kalkulátor'!$C$10))+(MONTH(CF!A136)-MONTH('ÖNYP kalkulátor'!$C$10)-1)/12</f>
        <v>54.666666666666664</v>
      </c>
      <c r="D136" s="4">
        <f ca="1">(1+VLOOKUP(YEAR(A136),'ÖNYP kalkulátor'!$E$15:$F$75,2,FALSE))^(1/12)-1</f>
        <v>2.4662697723036864E-3</v>
      </c>
      <c r="E136" s="4">
        <f t="shared" ca="1" si="25"/>
        <v>1.3933012136398426</v>
      </c>
      <c r="F136" s="8">
        <f t="shared" ca="1" si="26"/>
        <v>9783323.8664276432</v>
      </c>
      <c r="G136" s="8">
        <v>10000</v>
      </c>
      <c r="H136" s="8">
        <v>250000</v>
      </c>
      <c r="I136" s="8">
        <v>500000</v>
      </c>
      <c r="J136" s="8">
        <v>750000</v>
      </c>
      <c r="K136" s="8"/>
      <c r="L136" s="4">
        <f ca="1">+IF('ÖNYP kalkulátor'!$C$16="nem",0,
IF(MONTH(A136)=1,VLOOKUP(YEAR(A136),'ÖNYP kalkulátor'!$E$15:$J$75,4),0))</f>
        <v>0</v>
      </c>
      <c r="M136" s="8">
        <f t="shared" ca="1" si="35"/>
        <v>42772.826605385373</v>
      </c>
      <c r="N136" s="8">
        <f t="shared" ca="1" si="36"/>
        <v>14257.60886846179</v>
      </c>
      <c r="O136" s="8">
        <f t="shared" ca="1" si="30"/>
        <v>114060.87094769432</v>
      </c>
      <c r="P136" s="8">
        <f t="shared" ca="1" si="31"/>
        <v>106817.21869083265</v>
      </c>
      <c r="Q136" s="8">
        <f t="shared" ca="1" si="32"/>
        <v>53608.609345416327</v>
      </c>
      <c r="R136" s="13">
        <v>150000</v>
      </c>
      <c r="S136" s="13">
        <f ca="1">MIN(IF(AND(MONTH(A136)=5,'ÖNYP kalkulátor'!$IU$6="igen"),(M136+N136)*12/(1+IF('ÖNYP kalkulátor'!$C$16="nem",0,VLOOKUP(YEAR(A136),'ÖNYP kalkulátor'!$E$15:$J$75,4)))*0.2,0),R136)</f>
        <v>0</v>
      </c>
      <c r="T136" s="4">
        <f ca="1">(1+VLOOKUP(YEAR(A136),'ÖNYP kalkulátor'!$E$15:$F$75,2,FALSE)+VLOOKUP(YEAR(A136),'ÖNYP kalkulátor'!$E$15:$I$75,5,FALSE))^(1/12)-1</f>
        <v>4.0741237836483535E-3</v>
      </c>
      <c r="U136" s="8">
        <f t="shared" ca="1" si="27"/>
        <v>40076.880557689903</v>
      </c>
      <c r="V136" s="14">
        <f t="shared" ca="1" si="28"/>
        <v>9877009.3563307486</v>
      </c>
      <c r="W136" s="8">
        <f t="shared" ca="1" si="29"/>
        <v>7088926.1127736857</v>
      </c>
    </row>
    <row r="137" spans="1:23" x14ac:dyDescent="0.2">
      <c r="A137" s="6">
        <f t="shared" ca="1" si="33"/>
        <v>49735</v>
      </c>
      <c r="B137" s="12">
        <f t="shared" ca="1" si="34"/>
        <v>3</v>
      </c>
      <c r="C137" s="7">
        <f ca="1">(YEAR(A137)-YEAR('ÖNYP kalkulátor'!$C$10))+(MONTH(CF!A137)-MONTH('ÖNYP kalkulátor'!$C$10)-1)/12</f>
        <v>54.75</v>
      </c>
      <c r="D137" s="4">
        <f ca="1">(1+VLOOKUP(YEAR(A137),'ÖNYP kalkulátor'!$E$15:$F$75,2,FALSE))^(1/12)-1</f>
        <v>2.4662697723036864E-3</v>
      </c>
      <c r="E137" s="4">
        <f t="shared" ca="1" si="25"/>
        <v>1.3967374703067565</v>
      </c>
      <c r="F137" s="8">
        <f t="shared" ca="1" si="26"/>
        <v>9877009.3563307486</v>
      </c>
      <c r="G137" s="8">
        <v>10000</v>
      </c>
      <c r="H137" s="8">
        <v>250000</v>
      </c>
      <c r="I137" s="8">
        <v>500000</v>
      </c>
      <c r="J137" s="8">
        <v>750000</v>
      </c>
      <c r="K137" s="8"/>
      <c r="L137" s="4">
        <f ca="1">+IF('ÖNYP kalkulátor'!$C$16="nem",0,
IF(MONTH(A137)=1,VLOOKUP(YEAR(A137),'ÖNYP kalkulátor'!$E$15:$J$75,4),0))</f>
        <v>0</v>
      </c>
      <c r="M137" s="8">
        <f t="shared" ca="1" si="35"/>
        <v>42772.826605385373</v>
      </c>
      <c r="N137" s="8">
        <f t="shared" ca="1" si="36"/>
        <v>14257.60886846179</v>
      </c>
      <c r="O137" s="8">
        <f t="shared" ca="1" si="30"/>
        <v>171091.30642154149</v>
      </c>
      <c r="P137" s="8">
        <f t="shared" ca="1" si="31"/>
        <v>160425.828036249</v>
      </c>
      <c r="Q137" s="8">
        <f t="shared" ca="1" si="32"/>
        <v>53608.609345416349</v>
      </c>
      <c r="R137" s="13">
        <v>150000</v>
      </c>
      <c r="S137" s="13">
        <f ca="1">MIN(IF(AND(MONTH(A137)=5,'ÖNYP kalkulátor'!$IU$6="igen"),(M137+N137)*12/(1+IF('ÖNYP kalkulátor'!$C$16="nem",0,VLOOKUP(YEAR(A137),'ÖNYP kalkulátor'!$E$15:$J$75,4)))*0.2,0),R137)</f>
        <v>0</v>
      </c>
      <c r="T137" s="4">
        <f ca="1">(1+VLOOKUP(YEAR(A137),'ÖNYP kalkulátor'!$E$15:$F$75,2,FALSE)+VLOOKUP(YEAR(A137),'ÖNYP kalkulátor'!$E$15:$I$75,5,FALSE))^(1/12)-1</f>
        <v>4.0741237836483535E-3</v>
      </c>
      <c r="U137" s="8">
        <f t="shared" ca="1" si="27"/>
        <v>40458.566840286891</v>
      </c>
      <c r="V137" s="14">
        <f t="shared" ca="1" si="28"/>
        <v>9971076.5325164516</v>
      </c>
      <c r="W137" s="8">
        <f t="shared" ca="1" si="29"/>
        <v>7138833.7067570528</v>
      </c>
    </row>
    <row r="138" spans="1:23" x14ac:dyDescent="0.2">
      <c r="A138" s="6">
        <f t="shared" ca="1" si="33"/>
        <v>49766</v>
      </c>
      <c r="B138" s="12">
        <f t="shared" ca="1" si="34"/>
        <v>4</v>
      </c>
      <c r="C138" s="7">
        <f ca="1">(YEAR(A138)-YEAR('ÖNYP kalkulátor'!$C$10))+(MONTH(CF!A138)-MONTH('ÖNYP kalkulátor'!$C$10)-1)/12</f>
        <v>54.833333333333336</v>
      </c>
      <c r="D138" s="4">
        <f ca="1">(1+VLOOKUP(YEAR(A138),'ÖNYP kalkulátor'!$E$15:$F$75,2,FALSE))^(1/12)-1</f>
        <v>2.4662697723036864E-3</v>
      </c>
      <c r="E138" s="4">
        <f t="shared" ca="1" si="25"/>
        <v>1.4001822017096179</v>
      </c>
      <c r="F138" s="8">
        <f t="shared" ca="1" si="26"/>
        <v>9971076.5325164516</v>
      </c>
      <c r="G138" s="8">
        <v>10000</v>
      </c>
      <c r="H138" s="8">
        <v>250000</v>
      </c>
      <c r="I138" s="8">
        <v>500000</v>
      </c>
      <c r="J138" s="8">
        <v>750000</v>
      </c>
      <c r="K138" s="8"/>
      <c r="L138" s="4">
        <f ca="1">+IF('ÖNYP kalkulátor'!$C$16="nem",0,
IF(MONTH(A138)=1,VLOOKUP(YEAR(A138),'ÖNYP kalkulátor'!$E$15:$J$75,4),0))</f>
        <v>0</v>
      </c>
      <c r="M138" s="8">
        <f t="shared" ca="1" si="35"/>
        <v>42772.826605385373</v>
      </c>
      <c r="N138" s="8">
        <f t="shared" ca="1" si="36"/>
        <v>14257.60886846179</v>
      </c>
      <c r="O138" s="8">
        <f t="shared" ca="1" si="30"/>
        <v>228121.74189538867</v>
      </c>
      <c r="P138" s="8">
        <f t="shared" ca="1" si="31"/>
        <v>214034.43738166534</v>
      </c>
      <c r="Q138" s="8">
        <f t="shared" ca="1" si="32"/>
        <v>53608.609345416335</v>
      </c>
      <c r="R138" s="13">
        <v>150000</v>
      </c>
      <c r="S138" s="13">
        <f ca="1">MIN(IF(AND(MONTH(A138)=5,'ÖNYP kalkulátor'!$IU$6="igen"),(M138+N138)*12/(1+IF('ÖNYP kalkulátor'!$C$16="nem",0,VLOOKUP(YEAR(A138),'ÖNYP kalkulátor'!$E$15:$J$75,4)))*0.2,0),R138)</f>
        <v>0</v>
      </c>
      <c r="T138" s="4">
        <f ca="1">(1+VLOOKUP(YEAR(A138),'ÖNYP kalkulátor'!$E$15:$F$75,2,FALSE)+VLOOKUP(YEAR(A138),'ÖNYP kalkulátor'!$E$15:$I$75,5,FALSE))^(1/12)-1</f>
        <v>4.0741237836483535E-3</v>
      </c>
      <c r="U138" s="8">
        <f t="shared" ca="1" si="27"/>
        <v>40841.808160045701</v>
      </c>
      <c r="V138" s="14">
        <f t="shared" ca="1" si="28"/>
        <v>10065526.950021913</v>
      </c>
      <c r="W138" s="8">
        <f t="shared" ca="1" si="29"/>
        <v>7188726.5369692156</v>
      </c>
    </row>
    <row r="139" spans="1:23" x14ac:dyDescent="0.2">
      <c r="A139" s="6">
        <f t="shared" ca="1" si="33"/>
        <v>49796</v>
      </c>
      <c r="B139" s="12">
        <f t="shared" ca="1" si="34"/>
        <v>5</v>
      </c>
      <c r="C139" s="7">
        <f ca="1">(YEAR(A139)-YEAR('ÖNYP kalkulátor'!$C$10))+(MONTH(CF!A139)-MONTH('ÖNYP kalkulátor'!$C$10)-1)/12</f>
        <v>54.916666666666664</v>
      </c>
      <c r="D139" s="4">
        <f ca="1">(1+VLOOKUP(YEAR(A139),'ÖNYP kalkulátor'!$E$15:$F$75,2,FALSE))^(1/12)-1</f>
        <v>2.4662697723036864E-3</v>
      </c>
      <c r="E139" s="4">
        <f t="shared" ca="1" si="25"/>
        <v>1.4036354287494119</v>
      </c>
      <c r="F139" s="8">
        <f t="shared" ca="1" si="26"/>
        <v>10065526.950021913</v>
      </c>
      <c r="G139" s="8">
        <v>10000</v>
      </c>
      <c r="H139" s="8">
        <v>250000</v>
      </c>
      <c r="I139" s="8">
        <v>500000</v>
      </c>
      <c r="J139" s="8">
        <v>750000</v>
      </c>
      <c r="K139" s="8"/>
      <c r="L139" s="4">
        <f ca="1">+IF('ÖNYP kalkulátor'!$C$16="nem",0,
IF(MONTH(A139)=1,VLOOKUP(YEAR(A139),'ÖNYP kalkulátor'!$E$15:$J$75,4),0))</f>
        <v>0</v>
      </c>
      <c r="M139" s="8">
        <f t="shared" ca="1" si="35"/>
        <v>42772.826605385373</v>
      </c>
      <c r="N139" s="8">
        <f t="shared" ca="1" si="36"/>
        <v>14257.60886846179</v>
      </c>
      <c r="O139" s="8">
        <f t="shared" ca="1" si="30"/>
        <v>285152.17736923584</v>
      </c>
      <c r="P139" s="8">
        <f t="shared" ca="1" si="31"/>
        <v>267994.56850077404</v>
      </c>
      <c r="Q139" s="8">
        <f t="shared" ca="1" si="32"/>
        <v>53960.131119108701</v>
      </c>
      <c r="R139" s="13">
        <v>150000</v>
      </c>
      <c r="S139" s="13">
        <f ca="1">MIN(IF(AND(MONTH(A139)=5,'ÖNYP kalkulátor'!$IU$6="igen"),(M139+N139)*12/(1+IF('ÖNYP kalkulátor'!$C$16="nem",0,VLOOKUP(YEAR(A139),'ÖNYP kalkulátor'!$E$15:$J$75,4)))*0.2,0),R139)</f>
        <v>132886.45158954681</v>
      </c>
      <c r="T139" s="4">
        <f ca="1">(1+VLOOKUP(YEAR(A139),'ÖNYP kalkulátor'!$E$15:$F$75,2,FALSE)+VLOOKUP(YEAR(A139),'ÖNYP kalkulátor'!$E$15:$I$75,5,FALSE))^(1/12)-1</f>
        <v>4.0741237836483535E-3</v>
      </c>
      <c r="U139" s="8">
        <f t="shared" ca="1" si="27"/>
        <v>41769.438848544502</v>
      </c>
      <c r="V139" s="14">
        <f t="shared" ca="1" si="28"/>
        <v>10294142.971579112</v>
      </c>
      <c r="W139" s="8">
        <f t="shared" ca="1" si="29"/>
        <v>7333915.0328734713</v>
      </c>
    </row>
    <row r="140" spans="1:23" x14ac:dyDescent="0.2">
      <c r="A140" s="6">
        <f t="shared" ca="1" si="33"/>
        <v>49827</v>
      </c>
      <c r="B140" s="12">
        <f t="shared" ca="1" si="34"/>
        <v>6</v>
      </c>
      <c r="C140" s="7">
        <f ca="1">(YEAR(A140)-YEAR('ÖNYP kalkulátor'!$C$10))+(MONTH(CF!A140)-MONTH('ÖNYP kalkulátor'!$C$10)-1)/12</f>
        <v>55</v>
      </c>
      <c r="D140" s="4">
        <f ca="1">(1+VLOOKUP(YEAR(A140),'ÖNYP kalkulátor'!$E$15:$F$75,2,FALSE))^(1/12)-1</f>
        <v>2.4662697723036864E-3</v>
      </c>
      <c r="E140" s="4">
        <f t="shared" ca="1" si="25"/>
        <v>1.4070971723786712</v>
      </c>
      <c r="F140" s="8">
        <f t="shared" ca="1" si="26"/>
        <v>10294142.971579112</v>
      </c>
      <c r="G140" s="8">
        <v>10000</v>
      </c>
      <c r="H140" s="8">
        <v>250000</v>
      </c>
      <c r="I140" s="8">
        <v>500000</v>
      </c>
      <c r="J140" s="8">
        <v>750000</v>
      </c>
      <c r="K140" s="8"/>
      <c r="L140" s="4">
        <f ca="1">+IF('ÖNYP kalkulátor'!$C$16="nem",0,
IF(MONTH(A140)=1,VLOOKUP(YEAR(A140),'ÖNYP kalkulátor'!$E$15:$J$75,4),0))</f>
        <v>0</v>
      </c>
      <c r="M140" s="8">
        <f t="shared" ca="1" si="35"/>
        <v>42772.826605385373</v>
      </c>
      <c r="N140" s="8">
        <f t="shared" ca="1" si="36"/>
        <v>14257.60886846179</v>
      </c>
      <c r="O140" s="8">
        <f t="shared" ca="1" si="30"/>
        <v>342182.61284308298</v>
      </c>
      <c r="P140" s="8">
        <f t="shared" ca="1" si="31"/>
        <v>322173.48220092885</v>
      </c>
      <c r="Q140" s="8">
        <f t="shared" ca="1" si="32"/>
        <v>54178.913700154808</v>
      </c>
      <c r="R140" s="13">
        <v>150000</v>
      </c>
      <c r="S140" s="13">
        <f ca="1">MIN(IF(AND(MONTH(A140)=5,'ÖNYP kalkulátor'!$IU$6="igen"),(M140+N140)*12/(1+IF('ÖNYP kalkulátor'!$C$16="nem",0,VLOOKUP(YEAR(A140),'ÖNYP kalkulátor'!$E$15:$J$75,4)))*0.2,0),R140)</f>
        <v>0</v>
      </c>
      <c r="T140" s="4">
        <f ca="1">(1+VLOOKUP(YEAR(A140),'ÖNYP kalkulátor'!$E$15:$F$75,2,FALSE)+VLOOKUP(YEAR(A140),'ÖNYP kalkulátor'!$E$15:$I$75,5,FALSE))^(1/12)-1</f>
        <v>4.0741237836483535E-3</v>
      </c>
      <c r="U140" s="8">
        <f t="shared" ca="1" si="27"/>
        <v>42160.344313665024</v>
      </c>
      <c r="V140" s="14">
        <f t="shared" ca="1" si="28"/>
        <v>10390482.229592931</v>
      </c>
      <c r="W140" s="8">
        <f t="shared" ca="1" si="29"/>
        <v>7384338.7887902698</v>
      </c>
    </row>
    <row r="141" spans="1:23" x14ac:dyDescent="0.2">
      <c r="A141" s="6">
        <f t="shared" ca="1" si="33"/>
        <v>49857</v>
      </c>
      <c r="B141" s="12">
        <f t="shared" ca="1" si="34"/>
        <v>7</v>
      </c>
      <c r="C141" s="7">
        <f ca="1">(YEAR(A141)-YEAR('ÖNYP kalkulátor'!$C$10))+(MONTH(CF!A141)-MONTH('ÖNYP kalkulátor'!$C$10)-1)/12</f>
        <v>55.083333333333336</v>
      </c>
      <c r="D141" s="4">
        <f ca="1">(1+VLOOKUP(YEAR(A141),'ÖNYP kalkulátor'!$E$15:$F$75,2,FALSE))^(1/12)-1</f>
        <v>2.4662697723036864E-3</v>
      </c>
      <c r="E141" s="4">
        <f t="shared" ca="1" si="25"/>
        <v>1.4105674536016026</v>
      </c>
      <c r="F141" s="8">
        <f t="shared" ca="1" si="26"/>
        <v>10390482.229592931</v>
      </c>
      <c r="G141" s="8">
        <v>10000</v>
      </c>
      <c r="H141" s="8">
        <v>250000</v>
      </c>
      <c r="I141" s="8">
        <v>500000</v>
      </c>
      <c r="J141" s="8">
        <v>750000</v>
      </c>
      <c r="K141" s="8"/>
      <c r="L141" s="4">
        <f ca="1">+IF('ÖNYP kalkulátor'!$C$16="nem",0,
IF(MONTH(A141)=1,VLOOKUP(YEAR(A141),'ÖNYP kalkulátor'!$E$15:$J$75,4),0))</f>
        <v>0</v>
      </c>
      <c r="M141" s="8">
        <f t="shared" ca="1" si="35"/>
        <v>42772.826605385373</v>
      </c>
      <c r="N141" s="8">
        <f t="shared" ca="1" si="36"/>
        <v>14257.60886846179</v>
      </c>
      <c r="O141" s="8">
        <f t="shared" ca="1" si="30"/>
        <v>399213.04831693019</v>
      </c>
      <c r="P141" s="8">
        <f t="shared" ca="1" si="31"/>
        <v>376352.39590108371</v>
      </c>
      <c r="Q141" s="8">
        <f t="shared" ca="1" si="32"/>
        <v>54178.913700154866</v>
      </c>
      <c r="R141" s="13">
        <v>150000</v>
      </c>
      <c r="S141" s="13">
        <f ca="1">MIN(IF(AND(MONTH(A141)=5,'ÖNYP kalkulátor'!$IU$6="igen"),(M141+N141)*12/(1+IF('ÖNYP kalkulátor'!$C$16="nem",0,VLOOKUP(YEAR(A141),'ÖNYP kalkulátor'!$E$15:$J$75,4)))*0.2,0),R141)</f>
        <v>0</v>
      </c>
      <c r="T141" s="4">
        <f ca="1">(1+VLOOKUP(YEAR(A141),'ÖNYP kalkulátor'!$E$15:$F$75,2,FALSE)+VLOOKUP(YEAR(A141),'ÖNYP kalkulátor'!$E$15:$I$75,5,FALSE))^(1/12)-1</f>
        <v>4.0741237836483535E-3</v>
      </c>
      <c r="U141" s="8">
        <f t="shared" ca="1" si="27"/>
        <v>42552.842376038156</v>
      </c>
      <c r="V141" s="14">
        <f t="shared" ca="1" si="28"/>
        <v>10487213.985669123</v>
      </c>
      <c r="W141" s="8">
        <f t="shared" ca="1" si="29"/>
        <v>7434748.3056496968</v>
      </c>
    </row>
    <row r="142" spans="1:23" x14ac:dyDescent="0.2">
      <c r="A142" s="6">
        <f t="shared" ca="1" si="33"/>
        <v>49888</v>
      </c>
      <c r="B142" s="12">
        <f t="shared" ca="1" si="34"/>
        <v>8</v>
      </c>
      <c r="C142" s="7">
        <f ca="1">(YEAR(A142)-YEAR('ÖNYP kalkulátor'!$C$10))+(MONTH(CF!A142)-MONTH('ÖNYP kalkulátor'!$C$10)-1)/12</f>
        <v>55.166666666666664</v>
      </c>
      <c r="D142" s="4">
        <f ca="1">(1+VLOOKUP(YEAR(A142),'ÖNYP kalkulátor'!$E$15:$F$75,2,FALSE))^(1/12)-1</f>
        <v>2.4662697723036864E-3</v>
      </c>
      <c r="E142" s="4">
        <f t="shared" ca="1" si="25"/>
        <v>1.4140462934742157</v>
      </c>
      <c r="F142" s="8">
        <f t="shared" ca="1" si="26"/>
        <v>10487213.985669123</v>
      </c>
      <c r="G142" s="8">
        <v>10000</v>
      </c>
      <c r="H142" s="8">
        <v>250000</v>
      </c>
      <c r="I142" s="8">
        <v>500000</v>
      </c>
      <c r="J142" s="8">
        <v>750000</v>
      </c>
      <c r="K142" s="8"/>
      <c r="L142" s="4">
        <f ca="1">+IF('ÖNYP kalkulátor'!$C$16="nem",0,
IF(MONTH(A142)=1,VLOOKUP(YEAR(A142),'ÖNYP kalkulátor'!$E$15:$J$75,4),0))</f>
        <v>0</v>
      </c>
      <c r="M142" s="8">
        <f t="shared" ca="1" si="35"/>
        <v>42772.826605385373</v>
      </c>
      <c r="N142" s="8">
        <f t="shared" ca="1" si="36"/>
        <v>14257.60886846179</v>
      </c>
      <c r="O142" s="8">
        <f t="shared" ca="1" si="30"/>
        <v>456243.48379077739</v>
      </c>
      <c r="P142" s="8">
        <f t="shared" ca="1" si="31"/>
        <v>430531.30960123852</v>
      </c>
      <c r="Q142" s="8">
        <f t="shared" ca="1" si="32"/>
        <v>54178.913700154808</v>
      </c>
      <c r="R142" s="13">
        <v>150000</v>
      </c>
      <c r="S142" s="13">
        <f ca="1">MIN(IF(AND(MONTH(A142)=5,'ÖNYP kalkulátor'!$IU$6="igen"),(M142+N142)*12/(1+IF('ÖNYP kalkulátor'!$C$16="nem",0,VLOOKUP(YEAR(A142),'ÖNYP kalkulátor'!$E$15:$J$75,4)))*0.2,0),R142)</f>
        <v>0</v>
      </c>
      <c r="T142" s="4">
        <f ca="1">(1+VLOOKUP(YEAR(A142),'ÖNYP kalkulátor'!$E$15:$F$75,2,FALSE)+VLOOKUP(YEAR(A142),'ÖNYP kalkulátor'!$E$15:$I$75,5,FALSE))^(1/12)-1</f>
        <v>4.0741237836483535E-3</v>
      </c>
      <c r="U142" s="8">
        <f t="shared" ca="1" si="27"/>
        <v>42946.939524102243</v>
      </c>
      <c r="V142" s="14">
        <f t="shared" ca="1" si="28"/>
        <v>10584339.83889338</v>
      </c>
      <c r="W142" s="8">
        <f t="shared" ca="1" si="29"/>
        <v>7485143.7946125343</v>
      </c>
    </row>
    <row r="143" spans="1:23" x14ac:dyDescent="0.2">
      <c r="A143" s="6">
        <f t="shared" ca="1" si="33"/>
        <v>49919</v>
      </c>
      <c r="B143" s="12">
        <f t="shared" ca="1" si="34"/>
        <v>9</v>
      </c>
      <c r="C143" s="7">
        <f ca="1">(YEAR(A143)-YEAR('ÖNYP kalkulátor'!$C$10))+(MONTH(CF!A143)-MONTH('ÖNYP kalkulátor'!$C$10)-1)/12</f>
        <v>55.25</v>
      </c>
      <c r="D143" s="4">
        <f ca="1">(1+VLOOKUP(YEAR(A143),'ÖNYP kalkulátor'!$E$15:$F$75,2,FALSE))^(1/12)-1</f>
        <v>2.4662697723036864E-3</v>
      </c>
      <c r="E143" s="4">
        <f t="shared" ca="1" si="25"/>
        <v>1.4175337131044492</v>
      </c>
      <c r="F143" s="8">
        <f t="shared" ca="1" si="26"/>
        <v>10584339.83889338</v>
      </c>
      <c r="G143" s="8">
        <v>10000</v>
      </c>
      <c r="H143" s="8">
        <v>250000</v>
      </c>
      <c r="I143" s="8">
        <v>500000</v>
      </c>
      <c r="J143" s="8">
        <v>750000</v>
      </c>
      <c r="K143" s="8"/>
      <c r="L143" s="4">
        <f ca="1">+IF('ÖNYP kalkulátor'!$C$16="nem",0,
IF(MONTH(A143)=1,VLOOKUP(YEAR(A143),'ÖNYP kalkulátor'!$E$15:$J$75,4),0))</f>
        <v>0</v>
      </c>
      <c r="M143" s="8">
        <f t="shared" ca="1" si="35"/>
        <v>42772.826605385373</v>
      </c>
      <c r="N143" s="8">
        <f t="shared" ca="1" si="36"/>
        <v>14257.60886846179</v>
      </c>
      <c r="O143" s="8">
        <f t="shared" ca="1" si="30"/>
        <v>513273.91926462459</v>
      </c>
      <c r="P143" s="8">
        <f t="shared" ca="1" si="31"/>
        <v>485108.44087933208</v>
      </c>
      <c r="Q143" s="8">
        <f t="shared" ca="1" si="32"/>
        <v>54577.131278093555</v>
      </c>
      <c r="R143" s="13">
        <v>150000</v>
      </c>
      <c r="S143" s="13">
        <f ca="1">MIN(IF(AND(MONTH(A143)=5,'ÖNYP kalkulátor'!$IU$6="igen"),(M143+N143)*12/(1+IF('ÖNYP kalkulátor'!$C$16="nem",0,VLOOKUP(YEAR(A143),'ÖNYP kalkulátor'!$E$15:$J$75,4)))*0.2,0),R143)</f>
        <v>0</v>
      </c>
      <c r="T143" s="4">
        <f ca="1">(1+VLOOKUP(YEAR(A143),'ÖNYP kalkulátor'!$E$15:$F$75,2,FALSE)+VLOOKUP(YEAR(A143),'ÖNYP kalkulátor'!$E$15:$I$75,5,FALSE))^(1/12)-1</f>
        <v>4.0741237836483535E-3</v>
      </c>
      <c r="U143" s="8">
        <f t="shared" ca="1" si="27"/>
        <v>43344.264660435685</v>
      </c>
      <c r="V143" s="14">
        <f t="shared" ca="1" si="28"/>
        <v>10682261.234831909</v>
      </c>
      <c r="W143" s="8">
        <f t="shared" ca="1" si="29"/>
        <v>7535807.5339438505</v>
      </c>
    </row>
    <row r="144" spans="1:23" x14ac:dyDescent="0.2">
      <c r="A144" s="6">
        <f t="shared" ca="1" si="33"/>
        <v>49949</v>
      </c>
      <c r="B144" s="12">
        <f t="shared" ca="1" si="34"/>
        <v>10</v>
      </c>
      <c r="C144" s="7">
        <f ca="1">(YEAR(A144)-YEAR('ÖNYP kalkulátor'!$C$10))+(MONTH(CF!A144)-MONTH('ÖNYP kalkulátor'!$C$10)-1)/12</f>
        <v>55.333333333333336</v>
      </c>
      <c r="D144" s="4">
        <f ca="1">(1+VLOOKUP(YEAR(A144),'ÖNYP kalkulátor'!$E$15:$F$75,2,FALSE))^(1/12)-1</f>
        <v>2.4662697723036864E-3</v>
      </c>
      <c r="E144" s="4">
        <f t="shared" ca="1" si="25"/>
        <v>1.4210297336523001</v>
      </c>
      <c r="F144" s="8">
        <f t="shared" ca="1" si="26"/>
        <v>10682261.234831909</v>
      </c>
      <c r="G144" s="8">
        <v>10000</v>
      </c>
      <c r="H144" s="8">
        <v>250000</v>
      </c>
      <c r="I144" s="8">
        <v>500000</v>
      </c>
      <c r="J144" s="8">
        <v>750000</v>
      </c>
      <c r="K144" s="8"/>
      <c r="L144" s="4">
        <f ca="1">+IF('ÖNYP kalkulátor'!$C$16="nem",0,
IF(MONTH(A144)=1,VLOOKUP(YEAR(A144),'ÖNYP kalkulátor'!$E$15:$J$75,4),0))</f>
        <v>0</v>
      </c>
      <c r="M144" s="8">
        <f t="shared" ca="1" si="35"/>
        <v>42772.826605385373</v>
      </c>
      <c r="N144" s="8">
        <f t="shared" ca="1" si="36"/>
        <v>14257.60886846179</v>
      </c>
      <c r="O144" s="8">
        <f t="shared" ca="1" si="30"/>
        <v>570304.3547384718</v>
      </c>
      <c r="P144" s="8">
        <f t="shared" ca="1" si="31"/>
        <v>540998.26764370233</v>
      </c>
      <c r="Q144" s="8">
        <f t="shared" ca="1" si="32"/>
        <v>55889.826764370257</v>
      </c>
      <c r="R144" s="13">
        <v>150000</v>
      </c>
      <c r="S144" s="13">
        <f ca="1">MIN(IF(AND(MONTH(A144)=5,'ÖNYP kalkulátor'!$IU$6="igen"),(M144+N144)*12/(1+IF('ÖNYP kalkulátor'!$C$16="nem",0,VLOOKUP(YEAR(A144),'ÖNYP kalkulátor'!$E$15:$J$75,4)))*0.2,0),R144)</f>
        <v>0</v>
      </c>
      <c r="T144" s="4">
        <f ca="1">(1+VLOOKUP(YEAR(A144),'ÖNYP kalkulátor'!$E$15:$F$75,2,FALSE)+VLOOKUP(YEAR(A144),'ÖNYP kalkulátor'!$E$15:$I$75,5,FALSE))^(1/12)-1</f>
        <v>4.0741237836483535E-3</v>
      </c>
      <c r="U144" s="8">
        <f t="shared" ca="1" si="27"/>
        <v>43748.556632458211</v>
      </c>
      <c r="V144" s="14">
        <f t="shared" ca="1" si="28"/>
        <v>10781899.618228735</v>
      </c>
      <c r="W144" s="8">
        <f t="shared" ca="1" si="29"/>
        <v>7587384.9525423571</v>
      </c>
    </row>
    <row r="145" spans="1:23" x14ac:dyDescent="0.2">
      <c r="A145" s="6">
        <f t="shared" ca="1" si="33"/>
        <v>49980</v>
      </c>
      <c r="B145" s="12">
        <f t="shared" ca="1" si="34"/>
        <v>11</v>
      </c>
      <c r="C145" s="7">
        <f ca="1">(YEAR(A145)-YEAR('ÖNYP kalkulátor'!$C$10))+(MONTH(CF!A145)-MONTH('ÖNYP kalkulátor'!$C$10)-1)/12</f>
        <v>55.416666666666664</v>
      </c>
      <c r="D145" s="4">
        <f ca="1">(1+VLOOKUP(YEAR(A145),'ÖNYP kalkulátor'!$E$15:$F$75,2,FALSE))^(1/12)-1</f>
        <v>2.4662697723036864E-3</v>
      </c>
      <c r="E145" s="4">
        <f t="shared" ca="1" si="25"/>
        <v>1.4245343763299516</v>
      </c>
      <c r="F145" s="8">
        <f t="shared" ca="1" si="26"/>
        <v>10781899.618228735</v>
      </c>
      <c r="G145" s="8">
        <v>10000</v>
      </c>
      <c r="H145" s="8">
        <v>250000</v>
      </c>
      <c r="I145" s="8">
        <v>500000</v>
      </c>
      <c r="J145" s="8">
        <v>750000</v>
      </c>
      <c r="K145" s="8"/>
      <c r="L145" s="4">
        <f ca="1">+IF('ÖNYP kalkulátor'!$C$16="nem",0,
IF(MONTH(A145)=1,VLOOKUP(YEAR(A145),'ÖNYP kalkulátor'!$E$15:$J$75,4),0))</f>
        <v>0</v>
      </c>
      <c r="M145" s="8">
        <f t="shared" ca="1" si="35"/>
        <v>42772.826605385373</v>
      </c>
      <c r="N145" s="8">
        <f t="shared" ca="1" si="36"/>
        <v>14257.60886846179</v>
      </c>
      <c r="O145" s="8">
        <f t="shared" ca="1" si="30"/>
        <v>627334.790212319</v>
      </c>
      <c r="P145" s="8">
        <f t="shared" ca="1" si="31"/>
        <v>596888.09440807265</v>
      </c>
      <c r="Q145" s="8">
        <f t="shared" ca="1" si="32"/>
        <v>55889.826764370315</v>
      </c>
      <c r="R145" s="13">
        <v>150000</v>
      </c>
      <c r="S145" s="13">
        <f ca="1">MIN(IF(AND(MONTH(A145)=5,'ÖNYP kalkulátor'!$IU$6="igen"),(M145+N145)*12/(1+IF('ÖNYP kalkulátor'!$C$16="nem",0,VLOOKUP(YEAR(A145),'ÖNYP kalkulátor'!$E$15:$J$75,4)))*0.2,0),R145)</f>
        <v>0</v>
      </c>
      <c r="T145" s="4">
        <f ca="1">(1+VLOOKUP(YEAR(A145),'ÖNYP kalkulátor'!$E$15:$F$75,2,FALSE)+VLOOKUP(YEAR(A145),'ÖNYP kalkulátor'!$E$15:$I$75,5,FALSE))^(1/12)-1</f>
        <v>4.0741237836483535E-3</v>
      </c>
      <c r="U145" s="8">
        <f t="shared" ca="1" si="27"/>
        <v>44154.495740019498</v>
      </c>
      <c r="V145" s="14">
        <f t="shared" ca="1" si="28"/>
        <v>10881943.940733124</v>
      </c>
      <c r="W145" s="8">
        <f t="shared" ca="1" si="29"/>
        <v>7638947.9408481754</v>
      </c>
    </row>
    <row r="146" spans="1:23" x14ac:dyDescent="0.2">
      <c r="A146" s="6">
        <f t="shared" ca="1" si="33"/>
        <v>50010</v>
      </c>
      <c r="B146" s="12">
        <f t="shared" ca="1" si="34"/>
        <v>12</v>
      </c>
      <c r="C146" s="7">
        <f ca="1">(YEAR(A146)-YEAR('ÖNYP kalkulátor'!$C$10))+(MONTH(CF!A146)-MONTH('ÖNYP kalkulátor'!$C$10)-1)/12</f>
        <v>55.5</v>
      </c>
      <c r="D146" s="4">
        <f ca="1">(1+VLOOKUP(YEAR(A146),'ÖNYP kalkulátor'!$E$15:$F$75,2,FALSE))^(1/12)-1</f>
        <v>2.4662697723036864E-3</v>
      </c>
      <c r="E146" s="4">
        <f t="shared" ca="1" si="25"/>
        <v>1.4280476624019016</v>
      </c>
      <c r="F146" s="8">
        <f t="shared" ca="1" si="26"/>
        <v>10881943.940733124</v>
      </c>
      <c r="G146" s="8">
        <v>10000</v>
      </c>
      <c r="H146" s="8">
        <v>250000</v>
      </c>
      <c r="I146" s="8">
        <v>500000</v>
      </c>
      <c r="J146" s="8">
        <v>750000</v>
      </c>
      <c r="K146" s="8"/>
      <c r="L146" s="4">
        <f ca="1">+IF('ÖNYP kalkulátor'!$C$16="nem",0,
IF(MONTH(A146)=1,VLOOKUP(YEAR(A146),'ÖNYP kalkulátor'!$E$15:$J$75,4),0))</f>
        <v>0</v>
      </c>
      <c r="M146" s="8">
        <f t="shared" ca="1" si="35"/>
        <v>42772.826605385373</v>
      </c>
      <c r="N146" s="8">
        <f t="shared" ca="1" si="36"/>
        <v>14257.60886846179</v>
      </c>
      <c r="O146" s="8">
        <f t="shared" ca="1" si="30"/>
        <v>684365.2256861662</v>
      </c>
      <c r="P146" s="8">
        <f t="shared" ca="1" si="31"/>
        <v>652777.92117244285</v>
      </c>
      <c r="Q146" s="8">
        <f t="shared" ca="1" si="32"/>
        <v>55889.826764370198</v>
      </c>
      <c r="R146" s="13">
        <v>150000</v>
      </c>
      <c r="S146" s="13">
        <f ca="1">MIN(IF(AND(MONTH(A146)=5,'ÖNYP kalkulátor'!$IU$6="igen"),(M146+N146)*12/(1+IF('ÖNYP kalkulátor'!$C$16="nem",0,VLOOKUP(YEAR(A146),'ÖNYP kalkulátor'!$E$15:$J$75,4)))*0.2,0),R146)</f>
        <v>0</v>
      </c>
      <c r="T146" s="4">
        <f ca="1">(1+VLOOKUP(YEAR(A146),'ÖNYP kalkulátor'!$E$15:$F$75,2,FALSE)+VLOOKUP(YEAR(A146),'ÖNYP kalkulátor'!$E$15:$I$75,5,FALSE))^(1/12)-1</f>
        <v>4.0741237836483535E-3</v>
      </c>
      <c r="U146" s="8">
        <f t="shared" ca="1" si="27"/>
        <v>44562.088693753612</v>
      </c>
      <c r="V146" s="14">
        <f t="shared" ca="1" si="28"/>
        <v>10982395.856191246</v>
      </c>
      <c r="W146" s="8">
        <f t="shared" ca="1" si="29"/>
        <v>7690496.7147380989</v>
      </c>
    </row>
    <row r="147" spans="1:23" x14ac:dyDescent="0.2">
      <c r="A147" s="6">
        <f t="shared" ca="1" si="33"/>
        <v>50041</v>
      </c>
      <c r="B147" s="12">
        <f t="shared" ca="1" si="34"/>
        <v>1</v>
      </c>
      <c r="C147" s="7">
        <f ca="1">(YEAR(A147)-YEAR('ÖNYP kalkulátor'!$C$10))+(MONTH(CF!A147)-MONTH('ÖNYP kalkulátor'!$C$10)-1)/12</f>
        <v>55.583333333333336</v>
      </c>
      <c r="D147" s="4">
        <f ca="1">(1+VLOOKUP(YEAR(A147),'ÖNYP kalkulátor'!$E$15:$F$75,2,FALSE))^(1/12)-1</f>
        <v>2.4662697723036864E-3</v>
      </c>
      <c r="E147" s="4">
        <f t="shared" ca="1" si="25"/>
        <v>1.4315696131850923</v>
      </c>
      <c r="F147" s="8">
        <f t="shared" ca="1" si="26"/>
        <v>10982395.856191246</v>
      </c>
      <c r="G147" s="8">
        <v>10000</v>
      </c>
      <c r="H147" s="8">
        <v>250000</v>
      </c>
      <c r="I147" s="8">
        <v>500000</v>
      </c>
      <c r="J147" s="8">
        <v>750000</v>
      </c>
      <c r="K147" s="8"/>
      <c r="L147" s="4">
        <f ca="1">+IF('ÖNYP kalkulátor'!$C$16="nem",0,
IF(MONTH(A147)=1,VLOOKUP(YEAR(A147),'ÖNYP kalkulátor'!$E$15:$J$75,4),0))</f>
        <v>0.03</v>
      </c>
      <c r="M147" s="8">
        <f t="shared" ca="1" si="35"/>
        <v>44056.011403546938</v>
      </c>
      <c r="N147" s="8">
        <f t="shared" ca="1" si="36"/>
        <v>14685.337134515645</v>
      </c>
      <c r="O147" s="8">
        <f t="shared" ca="1" si="30"/>
        <v>58741.348538062579</v>
      </c>
      <c r="P147" s="8">
        <f t="shared" ca="1" si="31"/>
        <v>54816.867625778825</v>
      </c>
      <c r="Q147" s="8">
        <f t="shared" ca="1" si="32"/>
        <v>54816.867625778825</v>
      </c>
      <c r="R147" s="13">
        <v>150000</v>
      </c>
      <c r="S147" s="13">
        <f ca="1">MIN(IF(AND(MONTH(A147)=5,'ÖNYP kalkulátor'!$IU$6="igen"),(M147+N147)*12/(1+IF('ÖNYP kalkulátor'!$C$16="nem",0,VLOOKUP(YEAR(A147),'ÖNYP kalkulátor'!$E$15:$J$75,4)))*0.2,0),R147)</f>
        <v>0</v>
      </c>
      <c r="T147" s="4">
        <f ca="1">(1+VLOOKUP(YEAR(A147),'ÖNYP kalkulátor'!$E$15:$F$75,2,FALSE)+VLOOKUP(YEAR(A147),'ÖNYP kalkulátor'!$E$15:$I$75,5,FALSE))^(1/12)-1</f>
        <v>4.0741237836483535E-3</v>
      </c>
      <c r="U147" s="8">
        <f t="shared" ca="1" si="27"/>
        <v>44966.970863289163</v>
      </c>
      <c r="V147" s="14">
        <f t="shared" ca="1" si="28"/>
        <v>11082179.694680313</v>
      </c>
      <c r="W147" s="8">
        <f t="shared" ca="1" si="29"/>
        <v>7741278.9378950456</v>
      </c>
    </row>
    <row r="148" spans="1:23" x14ac:dyDescent="0.2">
      <c r="A148" s="6">
        <f t="shared" ca="1" si="33"/>
        <v>50072</v>
      </c>
      <c r="B148" s="12">
        <f t="shared" ca="1" si="34"/>
        <v>2</v>
      </c>
      <c r="C148" s="7">
        <f ca="1">(YEAR(A148)-YEAR('ÖNYP kalkulátor'!$C$10))+(MONTH(CF!A148)-MONTH('ÖNYP kalkulátor'!$C$10)-1)/12</f>
        <v>55.666666666666664</v>
      </c>
      <c r="D148" s="4">
        <f ca="1">(1+VLOOKUP(YEAR(A148),'ÖNYP kalkulátor'!$E$15:$F$75,2,FALSE))^(1/12)-1</f>
        <v>2.4662697723036864E-3</v>
      </c>
      <c r="E148" s="4">
        <f t="shared" ca="1" si="25"/>
        <v>1.4351002500490393</v>
      </c>
      <c r="F148" s="8">
        <f t="shared" ca="1" si="26"/>
        <v>11082179.694680313</v>
      </c>
      <c r="G148" s="8">
        <v>10000</v>
      </c>
      <c r="H148" s="8">
        <v>250000</v>
      </c>
      <c r="I148" s="8">
        <v>500000</v>
      </c>
      <c r="J148" s="8">
        <v>750000</v>
      </c>
      <c r="K148" s="8"/>
      <c r="L148" s="4">
        <f ca="1">+IF('ÖNYP kalkulátor'!$C$16="nem",0,
IF(MONTH(A148)=1,VLOOKUP(YEAR(A148),'ÖNYP kalkulátor'!$E$15:$J$75,4),0))</f>
        <v>0</v>
      </c>
      <c r="M148" s="8">
        <f t="shared" ca="1" si="35"/>
        <v>44056.011403546938</v>
      </c>
      <c r="N148" s="8">
        <f t="shared" ca="1" si="36"/>
        <v>14685.337134515645</v>
      </c>
      <c r="O148" s="8">
        <f t="shared" ca="1" si="30"/>
        <v>117482.69707612517</v>
      </c>
      <c r="P148" s="8">
        <f t="shared" ca="1" si="31"/>
        <v>110033.73525155765</v>
      </c>
      <c r="Q148" s="8">
        <f t="shared" ca="1" si="32"/>
        <v>55216.867625778825</v>
      </c>
      <c r="R148" s="13">
        <v>150000</v>
      </c>
      <c r="S148" s="13">
        <f ca="1">MIN(IF(AND(MONTH(A148)=5,'ÖNYP kalkulátor'!$IU$6="igen"),(M148+N148)*12/(1+IF('ÖNYP kalkulátor'!$C$16="nem",0,VLOOKUP(YEAR(A148),'ÖNYP kalkulátor'!$E$15:$J$75,4)))*0.2,0),R148)</f>
        <v>0</v>
      </c>
      <c r="T148" s="4">
        <f ca="1">(1+VLOOKUP(YEAR(A148),'ÖNYP kalkulátor'!$E$15:$F$75,2,FALSE)+VLOOKUP(YEAR(A148),'ÖNYP kalkulátor'!$E$15:$I$75,5,FALSE))^(1/12)-1</f>
        <v>4.0741237836483535E-3</v>
      </c>
      <c r="U148" s="8">
        <f t="shared" ca="1" si="27"/>
        <v>45375.132222414657</v>
      </c>
      <c r="V148" s="14">
        <f t="shared" ca="1" si="28"/>
        <v>11182771.694528505</v>
      </c>
      <c r="W148" s="8">
        <f t="shared" ca="1" si="29"/>
        <v>7792327.8838160438</v>
      </c>
    </row>
    <row r="149" spans="1:23" x14ac:dyDescent="0.2">
      <c r="A149" s="6">
        <f t="shared" ca="1" si="33"/>
        <v>50100</v>
      </c>
      <c r="B149" s="12">
        <f t="shared" ca="1" si="34"/>
        <v>3</v>
      </c>
      <c r="C149" s="7">
        <f ca="1">(YEAR(A149)-YEAR('ÖNYP kalkulátor'!$C$10))+(MONTH(CF!A149)-MONTH('ÖNYP kalkulátor'!$C$10)-1)/12</f>
        <v>55.75</v>
      </c>
      <c r="D149" s="4">
        <f ca="1">(1+VLOOKUP(YEAR(A149),'ÖNYP kalkulátor'!$E$15:$F$75,2,FALSE))^(1/12)-1</f>
        <v>2.4662697723036864E-3</v>
      </c>
      <c r="E149" s="4">
        <f t="shared" ca="1" si="25"/>
        <v>1.4386395944159607</v>
      </c>
      <c r="F149" s="8">
        <f t="shared" ca="1" si="26"/>
        <v>11182771.694528505</v>
      </c>
      <c r="G149" s="8">
        <v>10000</v>
      </c>
      <c r="H149" s="8">
        <v>250000</v>
      </c>
      <c r="I149" s="8">
        <v>500000</v>
      </c>
      <c r="J149" s="8">
        <v>750000</v>
      </c>
      <c r="K149" s="8"/>
      <c r="L149" s="4">
        <f ca="1">+IF('ÖNYP kalkulátor'!$C$16="nem",0,
IF(MONTH(A149)=1,VLOOKUP(YEAR(A149),'ÖNYP kalkulátor'!$E$15:$J$75,4),0))</f>
        <v>0</v>
      </c>
      <c r="M149" s="8">
        <f t="shared" ca="1" si="35"/>
        <v>44056.011403546938</v>
      </c>
      <c r="N149" s="8">
        <f t="shared" ca="1" si="36"/>
        <v>14685.337134515645</v>
      </c>
      <c r="O149" s="8">
        <f t="shared" ca="1" si="30"/>
        <v>176224.04561418775</v>
      </c>
      <c r="P149" s="8">
        <f t="shared" ca="1" si="31"/>
        <v>165250.60287733647</v>
      </c>
      <c r="Q149" s="8">
        <f t="shared" ca="1" si="32"/>
        <v>55216.867625778817</v>
      </c>
      <c r="R149" s="13">
        <v>150000</v>
      </c>
      <c r="S149" s="13">
        <f ca="1">MIN(IF(AND(MONTH(A149)=5,'ÖNYP kalkulátor'!$IU$6="igen"),(M149+N149)*12/(1+IF('ÖNYP kalkulátor'!$C$16="nem",0,VLOOKUP(YEAR(A149),'ÖNYP kalkulátor'!$E$15:$J$75,4)))*0.2,0),R149)</f>
        <v>0</v>
      </c>
      <c r="T149" s="4">
        <f ca="1">(1+VLOOKUP(YEAR(A149),'ÖNYP kalkulátor'!$E$15:$F$75,2,FALSE)+VLOOKUP(YEAR(A149),'ÖNYP kalkulátor'!$E$15:$I$75,5,FALSE))^(1/12)-1</f>
        <v>4.0741237836483535E-3</v>
      </c>
      <c r="U149" s="8">
        <f t="shared" ca="1" si="27"/>
        <v>45784.956481440931</v>
      </c>
      <c r="V149" s="14">
        <f t="shared" ca="1" si="28"/>
        <v>11283773.518635726</v>
      </c>
      <c r="W149" s="8">
        <f t="shared" ca="1" si="29"/>
        <v>7843363.6627501268</v>
      </c>
    </row>
    <row r="150" spans="1:23" x14ac:dyDescent="0.2">
      <c r="A150" s="6">
        <f t="shared" ca="1" si="33"/>
        <v>50131</v>
      </c>
      <c r="B150" s="12">
        <f t="shared" ca="1" si="34"/>
        <v>4</v>
      </c>
      <c r="C150" s="7">
        <f ca="1">(YEAR(A150)-YEAR('ÖNYP kalkulátor'!$C$10))+(MONTH(CF!A150)-MONTH('ÖNYP kalkulátor'!$C$10)-1)/12</f>
        <v>55.833333333333336</v>
      </c>
      <c r="D150" s="4">
        <f ca="1">(1+VLOOKUP(YEAR(A150),'ÖNYP kalkulátor'!$E$15:$F$75,2,FALSE))^(1/12)-1</f>
        <v>2.4662697723036864E-3</v>
      </c>
      <c r="E150" s="4">
        <f t="shared" ca="1" si="25"/>
        <v>1.442187667760908</v>
      </c>
      <c r="F150" s="8">
        <f t="shared" ca="1" si="26"/>
        <v>11283773.518635726</v>
      </c>
      <c r="G150" s="8">
        <v>10000</v>
      </c>
      <c r="H150" s="8">
        <v>250000</v>
      </c>
      <c r="I150" s="8">
        <v>500000</v>
      </c>
      <c r="J150" s="8">
        <v>750000</v>
      </c>
      <c r="K150" s="8"/>
      <c r="L150" s="4">
        <f ca="1">+IF('ÖNYP kalkulátor'!$C$16="nem",0,
IF(MONTH(A150)=1,VLOOKUP(YEAR(A150),'ÖNYP kalkulátor'!$E$15:$J$75,4),0))</f>
        <v>0</v>
      </c>
      <c r="M150" s="8">
        <f t="shared" ca="1" si="35"/>
        <v>44056.011403546938</v>
      </c>
      <c r="N150" s="8">
        <f t="shared" ca="1" si="36"/>
        <v>14685.337134515645</v>
      </c>
      <c r="O150" s="8">
        <f t="shared" ca="1" si="30"/>
        <v>234965.39415225032</v>
      </c>
      <c r="P150" s="8">
        <f t="shared" ca="1" si="31"/>
        <v>220467.4705031153</v>
      </c>
      <c r="Q150" s="8">
        <f t="shared" ca="1" si="32"/>
        <v>55216.867625778832</v>
      </c>
      <c r="R150" s="13">
        <v>150000</v>
      </c>
      <c r="S150" s="13">
        <f ca="1">MIN(IF(AND(MONTH(A150)=5,'ÖNYP kalkulátor'!$IU$6="igen"),(M150+N150)*12/(1+IF('ÖNYP kalkulátor'!$C$16="nem",0,VLOOKUP(YEAR(A150),'ÖNYP kalkulátor'!$E$15:$J$75,4)))*0.2,0),R150)</f>
        <v>0</v>
      </c>
      <c r="T150" s="4">
        <f ca="1">(1+VLOOKUP(YEAR(A150),'ÖNYP kalkulátor'!$E$15:$F$75,2,FALSE)+VLOOKUP(YEAR(A150),'ÖNYP kalkulátor'!$E$15:$I$75,5,FALSE))^(1/12)-1</f>
        <v>4.0741237836483535E-3</v>
      </c>
      <c r="U150" s="8">
        <f t="shared" ca="1" si="27"/>
        <v>46196.450415228028</v>
      </c>
      <c r="V150" s="14">
        <f t="shared" ca="1" si="28"/>
        <v>11385186.836676732</v>
      </c>
      <c r="W150" s="8">
        <f t="shared" ca="1" si="29"/>
        <v>7894386.4874070026</v>
      </c>
    </row>
    <row r="151" spans="1:23" x14ac:dyDescent="0.2">
      <c r="A151" s="6">
        <f t="shared" ca="1" si="33"/>
        <v>50161</v>
      </c>
      <c r="B151" s="12">
        <f t="shared" ca="1" si="34"/>
        <v>5</v>
      </c>
      <c r="C151" s="7">
        <f ca="1">(YEAR(A151)-YEAR('ÖNYP kalkulátor'!$C$10))+(MONTH(CF!A151)-MONTH('ÖNYP kalkulátor'!$C$10)-1)/12</f>
        <v>55.916666666666664</v>
      </c>
      <c r="D151" s="4">
        <f ca="1">(1+VLOOKUP(YEAR(A151),'ÖNYP kalkulátor'!$E$15:$F$75,2,FALSE))^(1/12)-1</f>
        <v>2.4662697723036864E-3</v>
      </c>
      <c r="E151" s="4">
        <f t="shared" ca="1" si="25"/>
        <v>1.445744491611896</v>
      </c>
      <c r="F151" s="8">
        <f t="shared" ca="1" si="26"/>
        <v>11385186.836676732</v>
      </c>
      <c r="G151" s="8">
        <v>10000</v>
      </c>
      <c r="H151" s="8">
        <v>250000</v>
      </c>
      <c r="I151" s="8">
        <v>500000</v>
      </c>
      <c r="J151" s="8">
        <v>750000</v>
      </c>
      <c r="K151" s="8"/>
      <c r="L151" s="4">
        <f ca="1">+IF('ÖNYP kalkulátor'!$C$16="nem",0,
IF(MONTH(A151)=1,VLOOKUP(YEAR(A151),'ÖNYP kalkulátor'!$E$15:$J$75,4),0))</f>
        <v>0</v>
      </c>
      <c r="M151" s="8">
        <f t="shared" ca="1" si="35"/>
        <v>44056.011403546938</v>
      </c>
      <c r="N151" s="8">
        <f t="shared" ca="1" si="36"/>
        <v>14685.337134515645</v>
      </c>
      <c r="O151" s="8">
        <f t="shared" ca="1" si="30"/>
        <v>293706.74269031291</v>
      </c>
      <c r="P151" s="8">
        <f t="shared" ca="1" si="31"/>
        <v>276121.40555579728</v>
      </c>
      <c r="Q151" s="8">
        <f t="shared" ca="1" si="32"/>
        <v>55653.935052681976</v>
      </c>
      <c r="R151" s="13">
        <v>150000</v>
      </c>
      <c r="S151" s="13">
        <f ca="1">MIN(IF(AND(MONTH(A151)=5,'ÖNYP kalkulátor'!$IU$6="igen"),(M151+N151)*12/(1+IF('ÖNYP kalkulátor'!$C$16="nem",0,VLOOKUP(YEAR(A151),'ÖNYP kalkulátor'!$E$15:$J$75,4)))*0.2,0),R151)</f>
        <v>136873.04513723319</v>
      </c>
      <c r="T151" s="4">
        <f ca="1">(1+VLOOKUP(YEAR(A151),'ÖNYP kalkulátor'!$E$15:$F$75,2,FALSE)+VLOOKUP(YEAR(A151),'ÖNYP kalkulátor'!$E$15:$I$75,5,FALSE))^(1/12)-1</f>
        <v>4.0741237836483535E-3</v>
      </c>
      <c r="U151" s="8">
        <f t="shared" ca="1" si="27"/>
        <v>47169.039221570565</v>
      </c>
      <c r="V151" s="14">
        <f t="shared" ca="1" si="28"/>
        <v>11624882.856088217</v>
      </c>
      <c r="W151" s="8">
        <f t="shared" ca="1" si="29"/>
        <v>8040758.8778895158</v>
      </c>
    </row>
    <row r="152" spans="1:23" x14ac:dyDescent="0.2">
      <c r="A152" s="6">
        <f t="shared" ca="1" si="33"/>
        <v>50192</v>
      </c>
      <c r="B152" s="12">
        <f t="shared" ca="1" si="34"/>
        <v>6</v>
      </c>
      <c r="C152" s="7">
        <f ca="1">(YEAR(A152)-YEAR('ÖNYP kalkulátor'!$C$10))+(MONTH(CF!A152)-MONTH('ÖNYP kalkulátor'!$C$10)-1)/12</f>
        <v>56</v>
      </c>
      <c r="D152" s="4">
        <f ca="1">(1+VLOOKUP(YEAR(A152),'ÖNYP kalkulátor'!$E$15:$F$75,2,FALSE))^(1/12)-1</f>
        <v>2.4662697723036864E-3</v>
      </c>
      <c r="E152" s="4">
        <f t="shared" ca="1" si="25"/>
        <v>1.4493100875500329</v>
      </c>
      <c r="F152" s="8">
        <f t="shared" ca="1" si="26"/>
        <v>11624882.856088217</v>
      </c>
      <c r="G152" s="8">
        <v>10000</v>
      </c>
      <c r="H152" s="8">
        <v>250000</v>
      </c>
      <c r="I152" s="8">
        <v>500000</v>
      </c>
      <c r="J152" s="8">
        <v>750000</v>
      </c>
      <c r="K152" s="8"/>
      <c r="L152" s="4">
        <f ca="1">+IF('ÖNYP kalkulátor'!$C$16="nem",0,
IF(MONTH(A152)=1,VLOOKUP(YEAR(A152),'ÖNYP kalkulátor'!$E$15:$J$75,4),0))</f>
        <v>0</v>
      </c>
      <c r="M152" s="8">
        <f t="shared" ca="1" si="35"/>
        <v>44056.011403546938</v>
      </c>
      <c r="N152" s="8">
        <f t="shared" ca="1" si="36"/>
        <v>14685.337134515645</v>
      </c>
      <c r="O152" s="8">
        <f t="shared" ca="1" si="30"/>
        <v>352448.0912283755</v>
      </c>
      <c r="P152" s="8">
        <f t="shared" ca="1" si="31"/>
        <v>331925.68666695675</v>
      </c>
      <c r="Q152" s="8">
        <f t="shared" ca="1" si="32"/>
        <v>55804.281111159478</v>
      </c>
      <c r="R152" s="13">
        <v>150000</v>
      </c>
      <c r="S152" s="13">
        <f ca="1">MIN(IF(AND(MONTH(A152)=5,'ÖNYP kalkulátor'!$IU$6="igen"),(M152+N152)*12/(1+IF('ÖNYP kalkulátor'!$C$16="nem",0,VLOOKUP(YEAR(A152),'ÖNYP kalkulátor'!$E$15:$J$75,4)))*0.2,0),R152)</f>
        <v>0</v>
      </c>
      <c r="T152" s="4">
        <f ca="1">(1+VLOOKUP(YEAR(A152),'ÖNYP kalkulátor'!$E$15:$F$75,2,FALSE)+VLOOKUP(YEAR(A152),'ÖNYP kalkulátor'!$E$15:$I$75,5,FALSE))^(1/12)-1</f>
        <v>4.0741237836483535E-3</v>
      </c>
      <c r="U152" s="8">
        <f t="shared" ca="1" si="27"/>
        <v>47588.565275019384</v>
      </c>
      <c r="V152" s="14">
        <f t="shared" ca="1" si="28"/>
        <v>11728275.702474397</v>
      </c>
      <c r="W152" s="8">
        <f t="shared" ca="1" si="29"/>
        <v>8092316.3394938521</v>
      </c>
    </row>
    <row r="153" spans="1:23" x14ac:dyDescent="0.2">
      <c r="A153" s="6">
        <f t="shared" ca="1" si="33"/>
        <v>50222</v>
      </c>
      <c r="B153" s="12">
        <f t="shared" ca="1" si="34"/>
        <v>7</v>
      </c>
      <c r="C153" s="7">
        <f ca="1">(YEAR(A153)-YEAR('ÖNYP kalkulátor'!$C$10))+(MONTH(CF!A153)-MONTH('ÖNYP kalkulátor'!$C$10)-1)/12</f>
        <v>56.083333333333336</v>
      </c>
      <c r="D153" s="4">
        <f ca="1">(1+VLOOKUP(YEAR(A153),'ÖNYP kalkulátor'!$E$15:$F$75,2,FALSE))^(1/12)-1</f>
        <v>2.4662697723036864E-3</v>
      </c>
      <c r="E153" s="4">
        <f t="shared" ca="1" si="25"/>
        <v>1.4528844772096523</v>
      </c>
      <c r="F153" s="8">
        <f t="shared" ca="1" si="26"/>
        <v>11728275.702474397</v>
      </c>
      <c r="G153" s="8">
        <v>10000</v>
      </c>
      <c r="H153" s="8">
        <v>250000</v>
      </c>
      <c r="I153" s="8">
        <v>500000</v>
      </c>
      <c r="J153" s="8">
        <v>750000</v>
      </c>
      <c r="K153" s="8"/>
      <c r="L153" s="4">
        <f ca="1">+IF('ÖNYP kalkulátor'!$C$16="nem",0,
IF(MONTH(A153)=1,VLOOKUP(YEAR(A153),'ÖNYP kalkulátor'!$E$15:$J$75,4),0))</f>
        <v>0</v>
      </c>
      <c r="M153" s="8">
        <f t="shared" ca="1" si="35"/>
        <v>44056.011403546938</v>
      </c>
      <c r="N153" s="8">
        <f t="shared" ca="1" si="36"/>
        <v>14685.337134515645</v>
      </c>
      <c r="O153" s="8">
        <f t="shared" ca="1" si="30"/>
        <v>411189.4397664381</v>
      </c>
      <c r="P153" s="8">
        <f t="shared" ca="1" si="31"/>
        <v>387729.96777811617</v>
      </c>
      <c r="Q153" s="8">
        <f t="shared" ca="1" si="32"/>
        <v>55804.28111115942</v>
      </c>
      <c r="R153" s="13">
        <v>150000</v>
      </c>
      <c r="S153" s="13">
        <f ca="1">MIN(IF(AND(MONTH(A153)=5,'ÖNYP kalkulátor'!$IU$6="igen"),(M153+N153)*12/(1+IF('ÖNYP kalkulátor'!$C$16="nem",0,VLOOKUP(YEAR(A153),'ÖNYP kalkulátor'!$E$15:$J$75,4)))*0.2,0),R153)</f>
        <v>0</v>
      </c>
      <c r="T153" s="4">
        <f ca="1">(1+VLOOKUP(YEAR(A153),'ÖNYP kalkulátor'!$E$15:$F$75,2,FALSE)+VLOOKUP(YEAR(A153),'ÖNYP kalkulátor'!$E$15:$I$75,5,FALSE))^(1/12)-1</f>
        <v>4.0741237836483535E-3</v>
      </c>
      <c r="U153" s="8">
        <f t="shared" ca="1" si="27"/>
        <v>48009.800529540415</v>
      </c>
      <c r="V153" s="14">
        <f t="shared" ca="1" si="28"/>
        <v>11832089.784115097</v>
      </c>
      <c r="W153" s="8">
        <f t="shared" ca="1" si="29"/>
        <v>8143861.3803895144</v>
      </c>
    </row>
    <row r="154" spans="1:23" x14ac:dyDescent="0.2">
      <c r="A154" s="6">
        <f t="shared" ca="1" si="33"/>
        <v>50253</v>
      </c>
      <c r="B154" s="12">
        <f t="shared" ca="1" si="34"/>
        <v>8</v>
      </c>
      <c r="C154" s="7">
        <f ca="1">(YEAR(A154)-YEAR('ÖNYP kalkulátor'!$C$10))+(MONTH(CF!A154)-MONTH('ÖNYP kalkulátor'!$C$10)-1)/12</f>
        <v>56.166666666666664</v>
      </c>
      <c r="D154" s="4">
        <f ca="1">(1+VLOOKUP(YEAR(A154),'ÖNYP kalkulátor'!$E$15:$F$75,2,FALSE))^(1/12)-1</f>
        <v>2.4662697723036864E-3</v>
      </c>
      <c r="E154" s="4">
        <f t="shared" ca="1" si="25"/>
        <v>1.4564676822784437</v>
      </c>
      <c r="F154" s="8">
        <f t="shared" ca="1" si="26"/>
        <v>11832089.784115097</v>
      </c>
      <c r="G154" s="8">
        <v>10000</v>
      </c>
      <c r="H154" s="8">
        <v>250000</v>
      </c>
      <c r="I154" s="8">
        <v>500000</v>
      </c>
      <c r="J154" s="8">
        <v>750000</v>
      </c>
      <c r="K154" s="8"/>
      <c r="L154" s="4">
        <f ca="1">+IF('ÖNYP kalkulátor'!$C$16="nem",0,
IF(MONTH(A154)=1,VLOOKUP(YEAR(A154),'ÖNYP kalkulátor'!$E$15:$J$75,4),0))</f>
        <v>0</v>
      </c>
      <c r="M154" s="8">
        <f t="shared" ca="1" si="35"/>
        <v>44056.011403546938</v>
      </c>
      <c r="N154" s="8">
        <f t="shared" ca="1" si="36"/>
        <v>14685.337134515645</v>
      </c>
      <c r="O154" s="8">
        <f t="shared" ca="1" si="30"/>
        <v>469930.78830450069</v>
      </c>
      <c r="P154" s="8">
        <f t="shared" ca="1" si="31"/>
        <v>443534.24888927565</v>
      </c>
      <c r="Q154" s="8">
        <f t="shared" ca="1" si="32"/>
        <v>55804.281111159478</v>
      </c>
      <c r="R154" s="13">
        <v>150000</v>
      </c>
      <c r="S154" s="13">
        <f ca="1">MIN(IF(AND(MONTH(A154)=5,'ÖNYP kalkulátor'!$IU$6="igen"),(M154+N154)*12/(1+IF('ÖNYP kalkulátor'!$C$16="nem",0,VLOOKUP(YEAR(A154),'ÖNYP kalkulátor'!$E$15:$J$75,4)))*0.2,0),R154)</f>
        <v>0</v>
      </c>
      <c r="T154" s="4">
        <f ca="1">(1+VLOOKUP(YEAR(A154),'ÖNYP kalkulátor'!$E$15:$F$75,2,FALSE)+VLOOKUP(YEAR(A154),'ÖNYP kalkulátor'!$E$15:$I$75,5,FALSE))^(1/12)-1</f>
        <v>4.0741237836483535E-3</v>
      </c>
      <c r="U154" s="8">
        <f t="shared" ca="1" si="27"/>
        <v>48432.751948630401</v>
      </c>
      <c r="V154" s="14">
        <f t="shared" ca="1" si="28"/>
        <v>11936326.817174887</v>
      </c>
      <c r="W154" s="8">
        <f t="shared" ca="1" si="29"/>
        <v>8195394.2146537323</v>
      </c>
    </row>
    <row r="155" spans="1:23" x14ac:dyDescent="0.2">
      <c r="A155" s="6">
        <f t="shared" ca="1" si="33"/>
        <v>50284</v>
      </c>
      <c r="B155" s="12">
        <f t="shared" ca="1" si="34"/>
        <v>9</v>
      </c>
      <c r="C155" s="7">
        <f ca="1">(YEAR(A155)-YEAR('ÖNYP kalkulátor'!$C$10))+(MONTH(CF!A155)-MONTH('ÖNYP kalkulátor'!$C$10)-1)/12</f>
        <v>56.25</v>
      </c>
      <c r="D155" s="4">
        <f ca="1">(1+VLOOKUP(YEAR(A155),'ÖNYP kalkulátor'!$E$15:$F$75,2,FALSE))^(1/12)-1</f>
        <v>2.4662697723036864E-3</v>
      </c>
      <c r="E155" s="4">
        <f t="shared" ca="1" si="25"/>
        <v>1.4600597244975841</v>
      </c>
      <c r="F155" s="8">
        <f t="shared" ca="1" si="26"/>
        <v>11936326.817174887</v>
      </c>
      <c r="G155" s="8">
        <v>10000</v>
      </c>
      <c r="H155" s="8">
        <v>250000</v>
      </c>
      <c r="I155" s="8">
        <v>500000</v>
      </c>
      <c r="J155" s="8">
        <v>750000</v>
      </c>
      <c r="K155" s="8"/>
      <c r="L155" s="4">
        <f ca="1">+IF('ÖNYP kalkulátor'!$C$16="nem",0,
IF(MONTH(A155)=1,VLOOKUP(YEAR(A155),'ÖNYP kalkulátor'!$E$15:$J$75,4),0))</f>
        <v>0</v>
      </c>
      <c r="M155" s="8">
        <f t="shared" ca="1" si="35"/>
        <v>44056.011403546938</v>
      </c>
      <c r="N155" s="8">
        <f t="shared" ca="1" si="36"/>
        <v>14685.337134515645</v>
      </c>
      <c r="O155" s="8">
        <f t="shared" ca="1" si="30"/>
        <v>528672.13684256328</v>
      </c>
      <c r="P155" s="8">
        <f t="shared" ca="1" si="31"/>
        <v>500198.694105712</v>
      </c>
      <c r="Q155" s="8">
        <f t="shared" ca="1" si="32"/>
        <v>56664.445216436347</v>
      </c>
      <c r="R155" s="13">
        <v>150000</v>
      </c>
      <c r="S155" s="13">
        <f ca="1">MIN(IF(AND(MONTH(A155)=5,'ÖNYP kalkulátor'!$IU$6="igen"),(M155+N155)*12/(1+IF('ÖNYP kalkulátor'!$C$16="nem",0,VLOOKUP(YEAR(A155),'ÖNYP kalkulátor'!$E$15:$J$75,4)))*0.2,0),R155)</f>
        <v>0</v>
      </c>
      <c r="T155" s="4">
        <f ca="1">(1+VLOOKUP(YEAR(A155),'ÖNYP kalkulátor'!$E$15:$F$75,2,FALSE)+VLOOKUP(YEAR(A155),'ÖNYP kalkulátor'!$E$15:$I$75,5,FALSE))^(1/12)-1</f>
        <v>4.0741237836483535E-3</v>
      </c>
      <c r="U155" s="8">
        <f t="shared" ca="1" si="27"/>
        <v>48860.930939195379</v>
      </c>
      <c r="V155" s="14">
        <f t="shared" ca="1" si="28"/>
        <v>12041852.193330519</v>
      </c>
      <c r="W155" s="8">
        <f t="shared" ca="1" si="29"/>
        <v>8247506.5857146336</v>
      </c>
    </row>
    <row r="156" spans="1:23" x14ac:dyDescent="0.2">
      <c r="A156" s="6">
        <f t="shared" ca="1" si="33"/>
        <v>50314</v>
      </c>
      <c r="B156" s="12">
        <f t="shared" ca="1" si="34"/>
        <v>10</v>
      </c>
      <c r="C156" s="7">
        <f ca="1">(YEAR(A156)-YEAR('ÖNYP kalkulátor'!$C$10))+(MONTH(CF!A156)-MONTH('ÖNYP kalkulátor'!$C$10)-1)/12</f>
        <v>56.333333333333336</v>
      </c>
      <c r="D156" s="4">
        <f ca="1">(1+VLOOKUP(YEAR(A156),'ÖNYP kalkulátor'!$E$15:$F$75,2,FALSE))^(1/12)-1</f>
        <v>2.4662697723036864E-3</v>
      </c>
      <c r="E156" s="4">
        <f t="shared" ca="1" si="25"/>
        <v>1.4636606256618705</v>
      </c>
      <c r="F156" s="8">
        <f t="shared" ca="1" si="26"/>
        <v>12041852.193330519</v>
      </c>
      <c r="G156" s="8">
        <v>10000</v>
      </c>
      <c r="H156" s="8">
        <v>250000</v>
      </c>
      <c r="I156" s="8">
        <v>500000</v>
      </c>
      <c r="J156" s="8">
        <v>750000</v>
      </c>
      <c r="K156" s="8"/>
      <c r="L156" s="4">
        <f ca="1">+IF('ÖNYP kalkulátor'!$C$16="nem",0,
IF(MONTH(A156)=1,VLOOKUP(YEAR(A156),'ÖNYP kalkulátor'!$E$15:$J$75,4),0))</f>
        <v>0</v>
      </c>
      <c r="M156" s="8">
        <f t="shared" ca="1" si="35"/>
        <v>44056.011403546938</v>
      </c>
      <c r="N156" s="8">
        <f t="shared" ca="1" si="36"/>
        <v>14685.337134515645</v>
      </c>
      <c r="O156" s="8">
        <f t="shared" ca="1" si="30"/>
        <v>587413.48538062582</v>
      </c>
      <c r="P156" s="8">
        <f t="shared" ca="1" si="31"/>
        <v>557765.21567301336</v>
      </c>
      <c r="Q156" s="8">
        <f t="shared" ca="1" si="32"/>
        <v>57566.521567301359</v>
      </c>
      <c r="R156" s="13">
        <v>150000</v>
      </c>
      <c r="S156" s="13">
        <f ca="1">MIN(IF(AND(MONTH(A156)=5,'ÖNYP kalkulátor'!$IU$6="igen"),(M156+N156)*12/(1+IF('ÖNYP kalkulátor'!$C$16="nem",0,VLOOKUP(YEAR(A156),'ÖNYP kalkulátor'!$E$15:$J$75,4)))*0.2,0),R156)</f>
        <v>0</v>
      </c>
      <c r="T156" s="4">
        <f ca="1">(1+VLOOKUP(YEAR(A156),'ÖNYP kalkulátor'!$E$15:$F$75,2,FALSE)+VLOOKUP(YEAR(A156),'ÖNYP kalkulátor'!$E$15:$I$75,5,FALSE))^(1/12)-1</f>
        <v>4.0741237836483535E-3</v>
      </c>
      <c r="U156" s="8">
        <f t="shared" ca="1" si="27"/>
        <v>49294.529554685207</v>
      </c>
      <c r="V156" s="14">
        <f t="shared" ca="1" si="28"/>
        <v>12148713.244452506</v>
      </c>
      <c r="W156" s="8">
        <f t="shared" ca="1" si="29"/>
        <v>8300225.497258855</v>
      </c>
    </row>
    <row r="157" spans="1:23" x14ac:dyDescent="0.2">
      <c r="A157" s="6">
        <f t="shared" ca="1" si="33"/>
        <v>50345</v>
      </c>
      <c r="B157" s="12">
        <f t="shared" ca="1" si="34"/>
        <v>11</v>
      </c>
      <c r="C157" s="7">
        <f ca="1">(YEAR(A157)-YEAR('ÖNYP kalkulátor'!$C$10))+(MONTH(CF!A157)-MONTH('ÖNYP kalkulátor'!$C$10)-1)/12</f>
        <v>56.416666666666664</v>
      </c>
      <c r="D157" s="4">
        <f ca="1">(1+VLOOKUP(YEAR(A157),'ÖNYP kalkulátor'!$E$15:$F$75,2,FALSE))^(1/12)-1</f>
        <v>2.4662697723036864E-3</v>
      </c>
      <c r="E157" s="4">
        <f t="shared" ca="1" si="25"/>
        <v>1.4672704076198515</v>
      </c>
      <c r="F157" s="8">
        <f t="shared" ca="1" si="26"/>
        <v>12148713.244452506</v>
      </c>
      <c r="G157" s="8">
        <v>10000</v>
      </c>
      <c r="H157" s="8">
        <v>250000</v>
      </c>
      <c r="I157" s="8">
        <v>500000</v>
      </c>
      <c r="J157" s="8">
        <v>750000</v>
      </c>
      <c r="K157" s="8"/>
      <c r="L157" s="4">
        <f ca="1">+IF('ÖNYP kalkulátor'!$C$16="nem",0,
IF(MONTH(A157)=1,VLOOKUP(YEAR(A157),'ÖNYP kalkulátor'!$E$15:$J$75,4),0))</f>
        <v>0</v>
      </c>
      <c r="M157" s="8">
        <f t="shared" ca="1" si="35"/>
        <v>44056.011403546938</v>
      </c>
      <c r="N157" s="8">
        <f t="shared" ca="1" si="36"/>
        <v>14685.337134515645</v>
      </c>
      <c r="O157" s="8">
        <f t="shared" ca="1" si="30"/>
        <v>646154.83391868835</v>
      </c>
      <c r="P157" s="8">
        <f t="shared" ca="1" si="31"/>
        <v>615331.7372403146</v>
      </c>
      <c r="Q157" s="8">
        <f t="shared" ca="1" si="32"/>
        <v>57566.521567301243</v>
      </c>
      <c r="R157" s="13">
        <v>150000</v>
      </c>
      <c r="S157" s="13">
        <f ca="1">MIN(IF(AND(MONTH(A157)=5,'ÖNYP kalkulátor'!$IU$6="igen"),(M157+N157)*12/(1+IF('ÖNYP kalkulátor'!$C$16="nem",0,VLOOKUP(YEAR(A157),'ÖNYP kalkulátor'!$E$15:$J$75,4)))*0.2,0),R157)</f>
        <v>0</v>
      </c>
      <c r="T157" s="4">
        <f ca="1">(1+VLOOKUP(YEAR(A157),'ÖNYP kalkulátor'!$E$15:$F$75,2,FALSE)+VLOOKUP(YEAR(A157),'ÖNYP kalkulátor'!$E$15:$I$75,5,FALSE))^(1/12)-1</f>
        <v>4.0741237836483535E-3</v>
      </c>
      <c r="U157" s="8">
        <f t="shared" ca="1" si="27"/>
        <v>49729.894704606959</v>
      </c>
      <c r="V157" s="14">
        <f t="shared" ca="1" si="28"/>
        <v>12256009.660724415</v>
      </c>
      <c r="W157" s="8">
        <f t="shared" ca="1" si="29"/>
        <v>8352931.8093490573</v>
      </c>
    </row>
    <row r="158" spans="1:23" x14ac:dyDescent="0.2">
      <c r="A158" s="6">
        <f t="shared" ca="1" si="33"/>
        <v>50375</v>
      </c>
      <c r="B158" s="12">
        <f t="shared" ca="1" si="34"/>
        <v>12</v>
      </c>
      <c r="C158" s="7">
        <f ca="1">(YEAR(A158)-YEAR('ÖNYP kalkulátor'!$C$10))+(MONTH(CF!A158)-MONTH('ÖNYP kalkulátor'!$C$10)-1)/12</f>
        <v>56.5</v>
      </c>
      <c r="D158" s="4">
        <f ca="1">(1+VLOOKUP(YEAR(A158),'ÖNYP kalkulátor'!$E$15:$F$75,2,FALSE))^(1/12)-1</f>
        <v>2.4662697723036864E-3</v>
      </c>
      <c r="E158" s="4">
        <f t="shared" ca="1" si="25"/>
        <v>1.4708890922739601</v>
      </c>
      <c r="F158" s="8">
        <f t="shared" ca="1" si="26"/>
        <v>12256009.660724415</v>
      </c>
      <c r="G158" s="8">
        <v>10000</v>
      </c>
      <c r="H158" s="8">
        <v>250000</v>
      </c>
      <c r="I158" s="8">
        <v>500000</v>
      </c>
      <c r="J158" s="8">
        <v>750000</v>
      </c>
      <c r="K158" s="8"/>
      <c r="L158" s="4">
        <f ca="1">+IF('ÖNYP kalkulátor'!$C$16="nem",0,
IF(MONTH(A158)=1,VLOOKUP(YEAR(A158),'ÖNYP kalkulátor'!$E$15:$J$75,4),0))</f>
        <v>0</v>
      </c>
      <c r="M158" s="8">
        <f t="shared" ca="1" si="35"/>
        <v>44056.011403546938</v>
      </c>
      <c r="N158" s="8">
        <f t="shared" ca="1" si="36"/>
        <v>14685.337134515645</v>
      </c>
      <c r="O158" s="8">
        <f t="shared" ca="1" si="30"/>
        <v>704896.18245675089</v>
      </c>
      <c r="P158" s="8">
        <f t="shared" ca="1" si="31"/>
        <v>672898.25880761584</v>
      </c>
      <c r="Q158" s="8">
        <f t="shared" ca="1" si="32"/>
        <v>57566.521567301243</v>
      </c>
      <c r="R158" s="13">
        <v>150000</v>
      </c>
      <c r="S158" s="13">
        <f ca="1">MIN(IF(AND(MONTH(A158)=5,'ÖNYP kalkulátor'!$IU$6="igen"),(M158+N158)*12/(1+IF('ÖNYP kalkulátor'!$C$16="nem",0,VLOOKUP(YEAR(A158),'ÖNYP kalkulátor'!$E$15:$J$75,4)))*0.2,0),R158)</f>
        <v>0</v>
      </c>
      <c r="T158" s="4">
        <f ca="1">(1+VLOOKUP(YEAR(A158),'ÖNYP kalkulátor'!$E$15:$F$75,2,FALSE)+VLOOKUP(YEAR(A158),'ÖNYP kalkulátor'!$E$15:$I$75,5,FALSE))^(1/12)-1</f>
        <v>4.0741237836483535E-3</v>
      </c>
      <c r="U158" s="8">
        <f t="shared" ca="1" si="27"/>
        <v>50167.033586040576</v>
      </c>
      <c r="V158" s="14">
        <f t="shared" ca="1" si="28"/>
        <v>12363743.215877756</v>
      </c>
      <c r="W158" s="8">
        <f t="shared" ca="1" si="29"/>
        <v>8405625.7407985125</v>
      </c>
    </row>
    <row r="159" spans="1:23" x14ac:dyDescent="0.2">
      <c r="A159" s="6">
        <f t="shared" ca="1" si="33"/>
        <v>50406</v>
      </c>
      <c r="B159" s="12">
        <f t="shared" ca="1" si="34"/>
        <v>1</v>
      </c>
      <c r="C159" s="7">
        <f ca="1">(YEAR(A159)-YEAR('ÖNYP kalkulátor'!$C$10))+(MONTH(CF!A159)-MONTH('ÖNYP kalkulátor'!$C$10)-1)/12</f>
        <v>56.583333333333336</v>
      </c>
      <c r="D159" s="4">
        <f ca="1">(1+VLOOKUP(YEAR(A159),'ÖNYP kalkulátor'!$E$15:$F$75,2,FALSE))^(1/12)-1</f>
        <v>2.4662697723036864E-3</v>
      </c>
      <c r="E159" s="4">
        <f t="shared" ca="1" si="25"/>
        <v>1.4745167015806466</v>
      </c>
      <c r="F159" s="8">
        <f t="shared" ca="1" si="26"/>
        <v>12363743.215877756</v>
      </c>
      <c r="G159" s="8">
        <v>10000</v>
      </c>
      <c r="H159" s="8">
        <v>250000</v>
      </c>
      <c r="I159" s="8">
        <v>500000</v>
      </c>
      <c r="J159" s="8">
        <v>750000</v>
      </c>
      <c r="K159" s="8"/>
      <c r="L159" s="4">
        <f ca="1">+IF('ÖNYP kalkulátor'!$C$16="nem",0,
IF(MONTH(A159)=1,VLOOKUP(YEAR(A159),'ÖNYP kalkulátor'!$E$15:$J$75,4),0))</f>
        <v>0.03</v>
      </c>
      <c r="M159" s="8">
        <f t="shared" ca="1" si="35"/>
        <v>45377.691745653348</v>
      </c>
      <c r="N159" s="8">
        <f t="shared" ca="1" si="36"/>
        <v>15125.897248551115</v>
      </c>
      <c r="O159" s="8">
        <f t="shared" ca="1" si="30"/>
        <v>60503.58899420446</v>
      </c>
      <c r="P159" s="8">
        <f t="shared" ca="1" si="31"/>
        <v>56473.37365455219</v>
      </c>
      <c r="Q159" s="8">
        <f t="shared" ca="1" si="32"/>
        <v>56473.37365455219</v>
      </c>
      <c r="R159" s="13">
        <v>150000</v>
      </c>
      <c r="S159" s="13">
        <f ca="1">MIN(IF(AND(MONTH(A159)=5,'ÖNYP kalkulátor'!$IU$6="igen"),(M159+N159)*12/(1+IF('ÖNYP kalkulátor'!$C$16="nem",0,VLOOKUP(YEAR(A159),'ÖNYP kalkulátor'!$E$15:$J$75,4)))*0.2,0),R159)</f>
        <v>0</v>
      </c>
      <c r="T159" s="4">
        <f ca="1">(1+VLOOKUP(YEAR(A159),'ÖNYP kalkulátor'!$E$15:$F$75,2,FALSE)+VLOOKUP(YEAR(A159),'ÖNYP kalkulátor'!$E$15:$I$75,5,FALSE))^(1/12)-1</f>
        <v>4.0741237836483535E-3</v>
      </c>
      <c r="U159" s="8">
        <f t="shared" ca="1" si="27"/>
        <v>50601.499805477419</v>
      </c>
      <c r="V159" s="14">
        <f t="shared" ca="1" si="28"/>
        <v>12470818.089337785</v>
      </c>
      <c r="W159" s="8">
        <f t="shared" ca="1" si="29"/>
        <v>8457563.1296474058</v>
      </c>
    </row>
    <row r="160" spans="1:23" x14ac:dyDescent="0.2">
      <c r="A160" s="6">
        <f t="shared" ca="1" si="33"/>
        <v>50437</v>
      </c>
      <c r="B160" s="12">
        <f t="shared" ca="1" si="34"/>
        <v>2</v>
      </c>
      <c r="C160" s="7">
        <f ca="1">(YEAR(A160)-YEAR('ÖNYP kalkulátor'!$C$10))+(MONTH(CF!A160)-MONTH('ÖNYP kalkulátor'!$C$10)-1)/12</f>
        <v>56.666666666666664</v>
      </c>
      <c r="D160" s="4">
        <f ca="1">(1+VLOOKUP(YEAR(A160),'ÖNYP kalkulátor'!$E$15:$F$75,2,FALSE))^(1/12)-1</f>
        <v>2.4662697723036864E-3</v>
      </c>
      <c r="E160" s="4">
        <f t="shared" ca="1" si="25"/>
        <v>1.4781532575505119</v>
      </c>
      <c r="F160" s="8">
        <f t="shared" ca="1" si="26"/>
        <v>12470818.089337785</v>
      </c>
      <c r="G160" s="8">
        <v>10000</v>
      </c>
      <c r="H160" s="8">
        <v>250000</v>
      </c>
      <c r="I160" s="8">
        <v>500000</v>
      </c>
      <c r="J160" s="8">
        <v>750000</v>
      </c>
      <c r="K160" s="8"/>
      <c r="L160" s="4">
        <f ca="1">+IF('ÖNYP kalkulátor'!$C$16="nem",0,
IF(MONTH(A160)=1,VLOOKUP(YEAR(A160),'ÖNYP kalkulátor'!$E$15:$J$75,4),0))</f>
        <v>0</v>
      </c>
      <c r="M160" s="8">
        <f t="shared" ca="1" si="35"/>
        <v>45377.691745653348</v>
      </c>
      <c r="N160" s="8">
        <f t="shared" ca="1" si="36"/>
        <v>15125.897248551115</v>
      </c>
      <c r="O160" s="8">
        <f t="shared" ca="1" si="30"/>
        <v>121007.17798840893</v>
      </c>
      <c r="P160" s="8">
        <f t="shared" ca="1" si="31"/>
        <v>113346.74730910439</v>
      </c>
      <c r="Q160" s="8">
        <f t="shared" ca="1" si="32"/>
        <v>56873.373654552204</v>
      </c>
      <c r="R160" s="13">
        <v>150000</v>
      </c>
      <c r="S160" s="13">
        <f ca="1">MIN(IF(AND(MONTH(A160)=5,'ÖNYP kalkulátor'!$IU$6="igen"),(M160+N160)*12/(1+IF('ÖNYP kalkulátor'!$C$16="nem",0,VLOOKUP(YEAR(A160),'ÖNYP kalkulátor'!$E$15:$J$75,4)))*0.2,0),R160)</f>
        <v>0</v>
      </c>
      <c r="T160" s="4">
        <f ca="1">(1+VLOOKUP(YEAR(A160),'ÖNYP kalkulátor'!$E$15:$F$75,2,FALSE)+VLOOKUP(YEAR(A160),'ÖNYP kalkulátor'!$E$15:$I$75,5,FALSE))^(1/12)-1</f>
        <v>4.0741237836483535E-3</v>
      </c>
      <c r="U160" s="8">
        <f t="shared" ca="1" si="27"/>
        <v>51039.365743585513</v>
      </c>
      <c r="V160" s="14">
        <f t="shared" ca="1" si="28"/>
        <v>12578730.828735922</v>
      </c>
      <c r="W160" s="8">
        <f t="shared" ca="1" si="29"/>
        <v>8509760.9226126391</v>
      </c>
    </row>
    <row r="161" spans="1:23" x14ac:dyDescent="0.2">
      <c r="A161" s="6">
        <f t="shared" ca="1" si="33"/>
        <v>50465</v>
      </c>
      <c r="B161" s="12">
        <f t="shared" ca="1" si="34"/>
        <v>3</v>
      </c>
      <c r="C161" s="7">
        <f ca="1">(YEAR(A161)-YEAR('ÖNYP kalkulátor'!$C$10))+(MONTH(CF!A161)-MONTH('ÖNYP kalkulátor'!$C$10)-1)/12</f>
        <v>56.75</v>
      </c>
      <c r="D161" s="4">
        <f ca="1">(1+VLOOKUP(YEAR(A161),'ÖNYP kalkulátor'!$E$15:$F$75,2,FALSE))^(1/12)-1</f>
        <v>2.4662697723036864E-3</v>
      </c>
      <c r="E161" s="4">
        <f t="shared" ca="1" si="25"/>
        <v>1.4817987822484409</v>
      </c>
      <c r="F161" s="8">
        <f t="shared" ca="1" si="26"/>
        <v>12578730.828735922</v>
      </c>
      <c r="G161" s="8">
        <v>10000</v>
      </c>
      <c r="H161" s="8">
        <v>250000</v>
      </c>
      <c r="I161" s="8">
        <v>500000</v>
      </c>
      <c r="J161" s="8">
        <v>750000</v>
      </c>
      <c r="K161" s="8"/>
      <c r="L161" s="4">
        <f ca="1">+IF('ÖNYP kalkulátor'!$C$16="nem",0,
IF(MONTH(A161)=1,VLOOKUP(YEAR(A161),'ÖNYP kalkulátor'!$E$15:$J$75,4),0))</f>
        <v>0</v>
      </c>
      <c r="M161" s="8">
        <f t="shared" ca="1" si="35"/>
        <v>45377.691745653348</v>
      </c>
      <c r="N161" s="8">
        <f t="shared" ca="1" si="36"/>
        <v>15125.897248551115</v>
      </c>
      <c r="O161" s="8">
        <f t="shared" ca="1" si="30"/>
        <v>181510.76698261339</v>
      </c>
      <c r="P161" s="8">
        <f t="shared" ca="1" si="31"/>
        <v>170220.12096365658</v>
      </c>
      <c r="Q161" s="8">
        <f t="shared" ca="1" si="32"/>
        <v>56873.373654552182</v>
      </c>
      <c r="R161" s="13">
        <v>150000</v>
      </c>
      <c r="S161" s="13">
        <f ca="1">MIN(IF(AND(MONTH(A161)=5,'ÖNYP kalkulátor'!$IU$6="igen"),(M161+N161)*12/(1+IF('ÖNYP kalkulátor'!$C$16="nem",0,VLOOKUP(YEAR(A161),'ÖNYP kalkulátor'!$E$15:$J$75,4)))*0.2,0),R161)</f>
        <v>0</v>
      </c>
      <c r="T161" s="4">
        <f ca="1">(1+VLOOKUP(YEAR(A161),'ÖNYP kalkulátor'!$E$15:$F$75,2,FALSE)+VLOOKUP(YEAR(A161),'ÖNYP kalkulátor'!$E$15:$I$75,5,FALSE))^(1/12)-1</f>
        <v>4.0741237836483535E-3</v>
      </c>
      <c r="U161" s="8">
        <f t="shared" ca="1" si="27"/>
        <v>51479.015601726111</v>
      </c>
      <c r="V161" s="14">
        <f t="shared" ca="1" si="28"/>
        <v>12687083.2179922</v>
      </c>
      <c r="W161" s="8">
        <f t="shared" ca="1" si="29"/>
        <v>8561947.3912248518</v>
      </c>
    </row>
    <row r="162" spans="1:23" x14ac:dyDescent="0.2">
      <c r="A162" s="6">
        <f t="shared" ca="1" si="33"/>
        <v>50496</v>
      </c>
      <c r="B162" s="12">
        <f t="shared" ca="1" si="34"/>
        <v>4</v>
      </c>
      <c r="C162" s="7">
        <f ca="1">(YEAR(A162)-YEAR('ÖNYP kalkulátor'!$C$10))+(MONTH(CF!A162)-MONTH('ÖNYP kalkulátor'!$C$10)-1)/12</f>
        <v>56.833333333333336</v>
      </c>
      <c r="D162" s="4">
        <f ca="1">(1+VLOOKUP(YEAR(A162),'ÖNYP kalkulátor'!$E$15:$F$75,2,FALSE))^(1/12)-1</f>
        <v>2.4662697723036864E-3</v>
      </c>
      <c r="E162" s="4">
        <f t="shared" ca="1" si="25"/>
        <v>1.4854532977937367</v>
      </c>
      <c r="F162" s="8">
        <f t="shared" ca="1" si="26"/>
        <v>12687083.2179922</v>
      </c>
      <c r="G162" s="8">
        <v>10000</v>
      </c>
      <c r="H162" s="8">
        <v>250000</v>
      </c>
      <c r="I162" s="8">
        <v>500000</v>
      </c>
      <c r="J162" s="8">
        <v>750000</v>
      </c>
      <c r="K162" s="8"/>
      <c r="L162" s="4">
        <f ca="1">+IF('ÖNYP kalkulátor'!$C$16="nem",0,
IF(MONTH(A162)=1,VLOOKUP(YEAR(A162),'ÖNYP kalkulátor'!$E$15:$J$75,4),0))</f>
        <v>0</v>
      </c>
      <c r="M162" s="8">
        <f t="shared" ca="1" si="35"/>
        <v>45377.691745653348</v>
      </c>
      <c r="N162" s="8">
        <f t="shared" ca="1" si="36"/>
        <v>15125.897248551115</v>
      </c>
      <c r="O162" s="8">
        <f t="shared" ca="1" si="30"/>
        <v>242014.35597681784</v>
      </c>
      <c r="P162" s="8">
        <f t="shared" ca="1" si="31"/>
        <v>227093.49461820876</v>
      </c>
      <c r="Q162" s="8">
        <f t="shared" ca="1" si="32"/>
        <v>56873.373654552182</v>
      </c>
      <c r="R162" s="13">
        <v>150000</v>
      </c>
      <c r="S162" s="13">
        <f ca="1">MIN(IF(AND(MONTH(A162)=5,'ÖNYP kalkulátor'!$IU$6="igen"),(M162+N162)*12/(1+IF('ÖNYP kalkulátor'!$C$16="nem",0,VLOOKUP(YEAR(A162),'ÖNYP kalkulátor'!$E$15:$J$75,4)))*0.2,0),R162)</f>
        <v>0</v>
      </c>
      <c r="T162" s="4">
        <f ca="1">(1+VLOOKUP(YEAR(A162),'ÖNYP kalkulátor'!$E$15:$F$75,2,FALSE)+VLOOKUP(YEAR(A162),'ÖNYP kalkulátor'!$E$15:$I$75,5,FALSE))^(1/12)-1</f>
        <v>4.0741237836483535E-3</v>
      </c>
      <c r="U162" s="8">
        <f t="shared" ca="1" si="27"/>
        <v>51920.456647810235</v>
      </c>
      <c r="V162" s="14">
        <f t="shared" ca="1" si="28"/>
        <v>12795877.048294561</v>
      </c>
      <c r="W162" s="8">
        <f t="shared" ca="1" si="29"/>
        <v>8614122.7511491496</v>
      </c>
    </row>
    <row r="163" spans="1:23" x14ac:dyDescent="0.2">
      <c r="A163" s="6">
        <f t="shared" ca="1" si="33"/>
        <v>50526</v>
      </c>
      <c r="B163" s="12">
        <f t="shared" ca="1" si="34"/>
        <v>5</v>
      </c>
      <c r="C163" s="7">
        <f ca="1">(YEAR(A163)-YEAR('ÖNYP kalkulátor'!$C$10))+(MONTH(CF!A163)-MONTH('ÖNYP kalkulátor'!$C$10)-1)/12</f>
        <v>56.916666666666664</v>
      </c>
      <c r="D163" s="4">
        <f ca="1">(1+VLOOKUP(YEAR(A163),'ÖNYP kalkulátor'!$E$15:$F$75,2,FALSE))^(1/12)-1</f>
        <v>2.4662697723036864E-3</v>
      </c>
      <c r="E163" s="4">
        <f t="shared" ca="1" si="25"/>
        <v>1.4891168263602541</v>
      </c>
      <c r="F163" s="8">
        <f t="shared" ca="1" si="26"/>
        <v>12795877.048294561</v>
      </c>
      <c r="G163" s="8">
        <v>10000</v>
      </c>
      <c r="H163" s="8">
        <v>250000</v>
      </c>
      <c r="I163" s="8">
        <v>500000</v>
      </c>
      <c r="J163" s="8">
        <v>750000</v>
      </c>
      <c r="K163" s="8"/>
      <c r="L163" s="4">
        <f ca="1">+IF('ÖNYP kalkulátor'!$C$16="nem",0,
IF(MONTH(A163)=1,VLOOKUP(YEAR(A163),'ÖNYP kalkulátor'!$E$15:$J$75,4),0))</f>
        <v>0</v>
      </c>
      <c r="M163" s="8">
        <f t="shared" ca="1" si="35"/>
        <v>45377.691745653348</v>
      </c>
      <c r="N163" s="8">
        <f t="shared" ca="1" si="36"/>
        <v>15125.897248551115</v>
      </c>
      <c r="O163" s="8">
        <f t="shared" ca="1" si="30"/>
        <v>302517.94497102231</v>
      </c>
      <c r="P163" s="8">
        <f t="shared" ca="1" si="31"/>
        <v>284492.04772247118</v>
      </c>
      <c r="Q163" s="8">
        <f t="shared" ca="1" si="32"/>
        <v>57398.553104262421</v>
      </c>
      <c r="R163" s="13">
        <v>150000</v>
      </c>
      <c r="S163" s="13">
        <f ca="1">MIN(IF(AND(MONTH(A163)=5,'ÖNYP kalkulátor'!$IU$6="igen"),(M163+N163)*12/(1+IF('ÖNYP kalkulátor'!$C$16="nem",0,VLOOKUP(YEAR(A163),'ÖNYP kalkulátor'!$E$15:$J$75,4)))*0.2,0),R163)</f>
        <v>140979.2364913502</v>
      </c>
      <c r="T163" s="4">
        <f ca="1">(1+VLOOKUP(YEAR(A163),'ÖNYP kalkulátor'!$E$15:$F$75,2,FALSE)+VLOOKUP(YEAR(A163),'ÖNYP kalkulátor'!$E$15:$I$75,5,FALSE))^(1/12)-1</f>
        <v>4.0741237836483535E-3</v>
      </c>
      <c r="U163" s="8">
        <f t="shared" ca="1" si="27"/>
        <v>52940.20268583604</v>
      </c>
      <c r="V163" s="14">
        <f t="shared" ca="1" si="28"/>
        <v>13047195.040576011</v>
      </c>
      <c r="W163" s="8">
        <f t="shared" ca="1" si="29"/>
        <v>8761700.0960672591</v>
      </c>
    </row>
    <row r="164" spans="1:23" x14ac:dyDescent="0.2">
      <c r="A164" s="6">
        <f t="shared" ca="1" si="33"/>
        <v>50557</v>
      </c>
      <c r="B164" s="12">
        <f t="shared" ca="1" si="34"/>
        <v>6</v>
      </c>
      <c r="C164" s="7">
        <f ca="1">(YEAR(A164)-YEAR('ÖNYP kalkulátor'!$C$10))+(MONTH(CF!A164)-MONTH('ÖNYP kalkulátor'!$C$10)-1)/12</f>
        <v>57</v>
      </c>
      <c r="D164" s="4">
        <f ca="1">(1+VLOOKUP(YEAR(A164),'ÖNYP kalkulátor'!$E$15:$F$75,2,FALSE))^(1/12)-1</f>
        <v>2.4662697723036864E-3</v>
      </c>
      <c r="E164" s="4">
        <f t="shared" ca="1" si="25"/>
        <v>1.4927893901765352</v>
      </c>
      <c r="F164" s="8">
        <f t="shared" ca="1" si="26"/>
        <v>13047195.040576011</v>
      </c>
      <c r="G164" s="8">
        <v>10000</v>
      </c>
      <c r="H164" s="8">
        <v>250000</v>
      </c>
      <c r="I164" s="8">
        <v>500000</v>
      </c>
      <c r="J164" s="8">
        <v>750000</v>
      </c>
      <c r="K164" s="8"/>
      <c r="L164" s="4">
        <f ca="1">+IF('ÖNYP kalkulátor'!$C$16="nem",0,
IF(MONTH(A164)=1,VLOOKUP(YEAR(A164),'ÖNYP kalkulátor'!$E$15:$J$75,4),0))</f>
        <v>0</v>
      </c>
      <c r="M164" s="8">
        <f t="shared" ca="1" si="35"/>
        <v>45377.691745653348</v>
      </c>
      <c r="N164" s="8">
        <f t="shared" ca="1" si="36"/>
        <v>15125.897248551115</v>
      </c>
      <c r="O164" s="8">
        <f t="shared" ca="1" si="30"/>
        <v>363021.53396522679</v>
      </c>
      <c r="P164" s="8">
        <f t="shared" ca="1" si="31"/>
        <v>341970.45726696542</v>
      </c>
      <c r="Q164" s="8">
        <f t="shared" ca="1" si="32"/>
        <v>57478.409544494236</v>
      </c>
      <c r="R164" s="13">
        <v>150000</v>
      </c>
      <c r="S164" s="13">
        <f ca="1">MIN(IF(AND(MONTH(A164)=5,'ÖNYP kalkulátor'!$IU$6="igen"),(M164+N164)*12/(1+IF('ÖNYP kalkulátor'!$C$16="nem",0,VLOOKUP(YEAR(A164),'ÖNYP kalkulátor'!$E$15:$J$75,4)))*0.2,0),R164)</f>
        <v>0</v>
      </c>
      <c r="T164" s="4">
        <f ca="1">(1+VLOOKUP(YEAR(A164),'ÖNYP kalkulátor'!$E$15:$F$75,2,FALSE)+VLOOKUP(YEAR(A164),'ÖNYP kalkulátor'!$E$15:$I$75,5,FALSE))^(1/12)-1</f>
        <v>4.0741237836483535E-3</v>
      </c>
      <c r="U164" s="8">
        <f t="shared" ca="1" si="27"/>
        <v>53390.061780081072</v>
      </c>
      <c r="V164" s="14">
        <f t="shared" ca="1" si="28"/>
        <v>13158063.511900585</v>
      </c>
      <c r="W164" s="8">
        <f t="shared" ca="1" si="29"/>
        <v>8814413.8741128985</v>
      </c>
    </row>
    <row r="165" spans="1:23" x14ac:dyDescent="0.2">
      <c r="A165" s="6">
        <f t="shared" ca="1" si="33"/>
        <v>50587</v>
      </c>
      <c r="B165" s="12">
        <f t="shared" ca="1" si="34"/>
        <v>7</v>
      </c>
      <c r="C165" s="7">
        <f ca="1">(YEAR(A165)-YEAR('ÖNYP kalkulátor'!$C$10))+(MONTH(CF!A165)-MONTH('ÖNYP kalkulátor'!$C$10)-1)/12</f>
        <v>57.083333333333336</v>
      </c>
      <c r="D165" s="4">
        <f ca="1">(1+VLOOKUP(YEAR(A165),'ÖNYP kalkulátor'!$E$15:$F$75,2,FALSE))^(1/12)-1</f>
        <v>2.4662697723036864E-3</v>
      </c>
      <c r="E165" s="4">
        <f t="shared" ca="1" si="25"/>
        <v>1.4964710115259432</v>
      </c>
      <c r="F165" s="8">
        <f t="shared" ca="1" si="26"/>
        <v>13158063.511900585</v>
      </c>
      <c r="G165" s="8">
        <v>10000</v>
      </c>
      <c r="H165" s="8">
        <v>250000</v>
      </c>
      <c r="I165" s="8">
        <v>500000</v>
      </c>
      <c r="J165" s="8">
        <v>750000</v>
      </c>
      <c r="K165" s="8"/>
      <c r="L165" s="4">
        <f ca="1">+IF('ÖNYP kalkulátor'!$C$16="nem",0,
IF(MONTH(A165)=1,VLOOKUP(YEAR(A165),'ÖNYP kalkulátor'!$E$15:$J$75,4),0))</f>
        <v>0</v>
      </c>
      <c r="M165" s="8">
        <f t="shared" ca="1" si="35"/>
        <v>45377.691745653348</v>
      </c>
      <c r="N165" s="8">
        <f t="shared" ca="1" si="36"/>
        <v>15125.897248551115</v>
      </c>
      <c r="O165" s="8">
        <f t="shared" ca="1" si="30"/>
        <v>423525.12295943126</v>
      </c>
      <c r="P165" s="8">
        <f t="shared" ca="1" si="31"/>
        <v>399448.86681145965</v>
      </c>
      <c r="Q165" s="8">
        <f t="shared" ca="1" si="32"/>
        <v>57478.409544494236</v>
      </c>
      <c r="R165" s="13">
        <v>150000</v>
      </c>
      <c r="S165" s="13">
        <f ca="1">MIN(IF(AND(MONTH(A165)=5,'ÖNYP kalkulátor'!$IU$6="igen"),(M165+N165)*12/(1+IF('ÖNYP kalkulátor'!$C$16="nem",0,VLOOKUP(YEAR(A165),'ÖNYP kalkulátor'!$E$15:$J$75,4)))*0.2,0),R165)</f>
        <v>0</v>
      </c>
      <c r="T165" s="4">
        <f ca="1">(1+VLOOKUP(YEAR(A165),'ÖNYP kalkulátor'!$E$15:$F$75,2,FALSE)+VLOOKUP(YEAR(A165),'ÖNYP kalkulátor'!$E$15:$I$75,5,FALSE))^(1/12)-1</f>
        <v>4.0741237836483535E-3</v>
      </c>
      <c r="U165" s="8">
        <f t="shared" ca="1" si="27"/>
        <v>53841.753655961256</v>
      </c>
      <c r="V165" s="14">
        <f t="shared" ca="1" si="28"/>
        <v>13269383.67510104</v>
      </c>
      <c r="W165" s="8">
        <f t="shared" ca="1" si="29"/>
        <v>8867117.086063914</v>
      </c>
    </row>
    <row r="166" spans="1:23" x14ac:dyDescent="0.2">
      <c r="A166" s="6">
        <f t="shared" ca="1" si="33"/>
        <v>50618</v>
      </c>
      <c r="B166" s="12">
        <f t="shared" ca="1" si="34"/>
        <v>8</v>
      </c>
      <c r="C166" s="7">
        <f ca="1">(YEAR(A166)-YEAR('ÖNYP kalkulátor'!$C$10))+(MONTH(CF!A166)-MONTH('ÖNYP kalkulátor'!$C$10)-1)/12</f>
        <v>57.166666666666664</v>
      </c>
      <c r="D166" s="4">
        <f ca="1">(1+VLOOKUP(YEAR(A166),'ÖNYP kalkulátor'!$E$15:$F$75,2,FALSE))^(1/12)-1</f>
        <v>2.4662697723036864E-3</v>
      </c>
      <c r="E166" s="4">
        <f t="shared" ca="1" si="25"/>
        <v>1.5001617127467983</v>
      </c>
      <c r="F166" s="8">
        <f t="shared" ca="1" si="26"/>
        <v>13269383.67510104</v>
      </c>
      <c r="G166" s="8">
        <v>10000</v>
      </c>
      <c r="H166" s="8">
        <v>250000</v>
      </c>
      <c r="I166" s="8">
        <v>500000</v>
      </c>
      <c r="J166" s="8">
        <v>750000</v>
      </c>
      <c r="K166" s="8"/>
      <c r="L166" s="4">
        <f ca="1">+IF('ÖNYP kalkulátor'!$C$16="nem",0,
IF(MONTH(A166)=1,VLOOKUP(YEAR(A166),'ÖNYP kalkulátor'!$E$15:$J$75,4),0))</f>
        <v>0</v>
      </c>
      <c r="M166" s="8">
        <f t="shared" ca="1" si="35"/>
        <v>45377.691745653348</v>
      </c>
      <c r="N166" s="8">
        <f t="shared" ca="1" si="36"/>
        <v>15125.897248551115</v>
      </c>
      <c r="O166" s="8">
        <f t="shared" ca="1" si="30"/>
        <v>484028.71195363573</v>
      </c>
      <c r="P166" s="8">
        <f t="shared" ca="1" si="31"/>
        <v>456927.27635595395</v>
      </c>
      <c r="Q166" s="8">
        <f t="shared" ca="1" si="32"/>
        <v>57478.409544494294</v>
      </c>
      <c r="R166" s="13">
        <v>150000</v>
      </c>
      <c r="S166" s="13">
        <f ca="1">MIN(IF(AND(MONTH(A166)=5,'ÖNYP kalkulátor'!$IU$6="igen"),(M166+N166)*12/(1+IF('ÖNYP kalkulátor'!$C$16="nem",0,VLOOKUP(YEAR(A166),'ÖNYP kalkulátor'!$E$15:$J$75,4)))*0.2,0),R166)</f>
        <v>0</v>
      </c>
      <c r="T166" s="4">
        <f ca="1">(1+VLOOKUP(YEAR(A166),'ÖNYP kalkulátor'!$E$15:$F$75,2,FALSE)+VLOOKUP(YEAR(A166),'ÖNYP kalkulátor'!$E$15:$I$75,5,FALSE))^(1/12)-1</f>
        <v>4.0741237836483535E-3</v>
      </c>
      <c r="U166" s="8">
        <f t="shared" ca="1" si="27"/>
        <v>54295.285780455844</v>
      </c>
      <c r="V166" s="14">
        <f t="shared" ca="1" si="28"/>
        <v>13381157.37042599</v>
      </c>
      <c r="W166" s="8">
        <f t="shared" ca="1" si="29"/>
        <v>8919809.9489721488</v>
      </c>
    </row>
    <row r="167" spans="1:23" x14ac:dyDescent="0.2">
      <c r="A167" s="6">
        <f t="shared" ca="1" si="33"/>
        <v>50649</v>
      </c>
      <c r="B167" s="12">
        <f t="shared" ca="1" si="34"/>
        <v>9</v>
      </c>
      <c r="C167" s="7">
        <f ca="1">(YEAR(A167)-YEAR('ÖNYP kalkulátor'!$C$10))+(MONTH(CF!A167)-MONTH('ÖNYP kalkulátor'!$C$10)-1)/12</f>
        <v>57.25</v>
      </c>
      <c r="D167" s="4">
        <f ca="1">(1+VLOOKUP(YEAR(A167),'ÖNYP kalkulátor'!$E$15:$F$75,2,FALSE))^(1/12)-1</f>
        <v>2.4662697723036864E-3</v>
      </c>
      <c r="E167" s="4">
        <f t="shared" ref="E167:E230" ca="1" si="37">E166*(1+D166)</f>
        <v>1.5038615162325131</v>
      </c>
      <c r="F167" s="8">
        <f t="shared" ref="F167:F230" ca="1" si="38">+V166</f>
        <v>13381157.37042599</v>
      </c>
      <c r="G167" s="8">
        <v>10000</v>
      </c>
      <c r="H167" s="8">
        <v>250000</v>
      </c>
      <c r="I167" s="8">
        <v>500000</v>
      </c>
      <c r="J167" s="8">
        <v>750000</v>
      </c>
      <c r="K167" s="8"/>
      <c r="L167" s="4">
        <f ca="1">+IF('ÖNYP kalkulátor'!$C$16="nem",0,
IF(MONTH(A167)=1,VLOOKUP(YEAR(A167),'ÖNYP kalkulátor'!$E$15:$J$75,4),0))</f>
        <v>0</v>
      </c>
      <c r="M167" s="8">
        <f t="shared" ca="1" si="35"/>
        <v>45377.691745653348</v>
      </c>
      <c r="N167" s="8">
        <f t="shared" ca="1" si="36"/>
        <v>15125.897248551115</v>
      </c>
      <c r="O167" s="8">
        <f t="shared" ca="1" si="30"/>
        <v>544532.30094784021</v>
      </c>
      <c r="P167" s="8">
        <f t="shared" ca="1" si="31"/>
        <v>515741.65492888342</v>
      </c>
      <c r="Q167" s="8">
        <f t="shared" ca="1" si="32"/>
        <v>58814.378572929476</v>
      </c>
      <c r="R167" s="13">
        <v>150000</v>
      </c>
      <c r="S167" s="13">
        <f ca="1">MIN(IF(AND(MONTH(A167)=5,'ÖNYP kalkulátor'!$IU$6="igen"),(M167+N167)*12/(1+IF('ÖNYP kalkulátor'!$C$16="nem",0,VLOOKUP(YEAR(A167),'ÖNYP kalkulátor'!$E$15:$J$75,4)))*0.2,0),R167)</f>
        <v>0</v>
      </c>
      <c r="T167" s="4">
        <f ca="1">(1+VLOOKUP(YEAR(A167),'ÖNYP kalkulátor'!$E$15:$F$75,2,FALSE)+VLOOKUP(YEAR(A167),'ÖNYP kalkulátor'!$E$15:$I$75,5,FALSE))^(1/12)-1</f>
        <v>4.0741237836483535E-3</v>
      </c>
      <c r="U167" s="8">
        <f t="shared" ca="1" si="27"/>
        <v>54756.108554158454</v>
      </c>
      <c r="V167" s="14">
        <f t="shared" ca="1" si="28"/>
        <v>13494727.857553078</v>
      </c>
      <c r="W167" s="8">
        <f t="shared" ca="1" si="29"/>
        <v>8973384.6580236908</v>
      </c>
    </row>
    <row r="168" spans="1:23" x14ac:dyDescent="0.2">
      <c r="A168" s="6">
        <f t="shared" ca="1" si="33"/>
        <v>50679</v>
      </c>
      <c r="B168" s="12">
        <f t="shared" ca="1" si="34"/>
        <v>10</v>
      </c>
      <c r="C168" s="7">
        <f ca="1">(YEAR(A168)-YEAR('ÖNYP kalkulátor'!$C$10))+(MONTH(CF!A168)-MONTH('ÖNYP kalkulátor'!$C$10)-1)/12</f>
        <v>57.333333333333336</v>
      </c>
      <c r="D168" s="4">
        <f ca="1">(1+VLOOKUP(YEAR(A168),'ÖNYP kalkulátor'!$E$15:$F$75,2,FALSE))^(1/12)-1</f>
        <v>2.4662697723036864E-3</v>
      </c>
      <c r="E168" s="4">
        <f t="shared" ca="1" si="37"/>
        <v>1.5075704444317282</v>
      </c>
      <c r="F168" s="8">
        <f t="shared" ca="1" si="38"/>
        <v>13494727.857553078</v>
      </c>
      <c r="G168" s="8">
        <v>10000</v>
      </c>
      <c r="H168" s="8">
        <v>250000</v>
      </c>
      <c r="I168" s="8">
        <v>500000</v>
      </c>
      <c r="J168" s="8">
        <v>750000</v>
      </c>
      <c r="K168" s="8"/>
      <c r="L168" s="4">
        <f ca="1">+IF('ÖNYP kalkulátor'!$C$16="nem",0,
IF(MONTH(A168)=1,VLOOKUP(YEAR(A168),'ÖNYP kalkulátor'!$E$15:$J$75,4),0))</f>
        <v>0</v>
      </c>
      <c r="M168" s="8">
        <f t="shared" ca="1" si="35"/>
        <v>45377.691745653348</v>
      </c>
      <c r="N168" s="8">
        <f t="shared" ca="1" si="36"/>
        <v>15125.897248551115</v>
      </c>
      <c r="O168" s="8">
        <f t="shared" ca="1" si="30"/>
        <v>605035.88994204474</v>
      </c>
      <c r="P168" s="8">
        <f t="shared" ca="1" si="31"/>
        <v>575035.1721432039</v>
      </c>
      <c r="Q168" s="8">
        <f t="shared" ca="1" si="32"/>
        <v>59293.517214320484</v>
      </c>
      <c r="R168" s="13">
        <v>150000</v>
      </c>
      <c r="S168" s="13">
        <f ca="1">MIN(IF(AND(MONTH(A168)=5,'ÖNYP kalkulátor'!$IU$6="igen"),(M168+N168)*12/(1+IF('ÖNYP kalkulátor'!$C$16="nem",0,VLOOKUP(YEAR(A168),'ÖNYP kalkulátor'!$E$15:$J$75,4)))*0.2,0),R168)</f>
        <v>0</v>
      </c>
      <c r="T168" s="4">
        <f ca="1">(1+VLOOKUP(YEAR(A168),'ÖNYP kalkulátor'!$E$15:$F$75,2,FALSE)+VLOOKUP(YEAR(A168),'ÖNYP kalkulátor'!$E$15:$I$75,5,FALSE))^(1/12)-1</f>
        <v>4.0741237836483535E-3</v>
      </c>
      <c r="U168" s="8">
        <f t="shared" ca="1" si="27"/>
        <v>55220.760847018013</v>
      </c>
      <c r="V168" s="14">
        <f t="shared" ca="1" si="28"/>
        <v>13609242.135614416</v>
      </c>
      <c r="W168" s="8">
        <f t="shared" ca="1" si="29"/>
        <v>9027267.8042214848</v>
      </c>
    </row>
    <row r="169" spans="1:23" x14ac:dyDescent="0.2">
      <c r="A169" s="6">
        <f t="shared" ca="1" si="33"/>
        <v>50710</v>
      </c>
      <c r="B169" s="12">
        <f t="shared" ca="1" si="34"/>
        <v>11</v>
      </c>
      <c r="C169" s="7">
        <f ca="1">(YEAR(A169)-YEAR('ÖNYP kalkulátor'!$C$10))+(MONTH(CF!A169)-MONTH('ÖNYP kalkulátor'!$C$10)-1)/12</f>
        <v>57.416666666666664</v>
      </c>
      <c r="D169" s="4">
        <f ca="1">(1+VLOOKUP(YEAR(A169),'ÖNYP kalkulátor'!$E$15:$F$75,2,FALSE))^(1/12)-1</f>
        <v>2.4662697723036864E-3</v>
      </c>
      <c r="E169" s="4">
        <f t="shared" ca="1" si="37"/>
        <v>1.5112885198484485</v>
      </c>
      <c r="F169" s="8">
        <f t="shared" ca="1" si="38"/>
        <v>13609242.135614416</v>
      </c>
      <c r="G169" s="8">
        <v>10000</v>
      </c>
      <c r="H169" s="8">
        <v>250000</v>
      </c>
      <c r="I169" s="8">
        <v>500000</v>
      </c>
      <c r="J169" s="8">
        <v>750000</v>
      </c>
      <c r="K169" s="8"/>
      <c r="L169" s="4">
        <f ca="1">+IF('ÖNYP kalkulátor'!$C$16="nem",0,
IF(MONTH(A169)=1,VLOOKUP(YEAR(A169),'ÖNYP kalkulátor'!$E$15:$J$75,4),0))</f>
        <v>0</v>
      </c>
      <c r="M169" s="8">
        <f t="shared" ca="1" si="35"/>
        <v>45377.691745653348</v>
      </c>
      <c r="N169" s="8">
        <f t="shared" ca="1" si="36"/>
        <v>15125.897248551115</v>
      </c>
      <c r="O169" s="8">
        <f t="shared" ca="1" si="30"/>
        <v>665539.47893624927</v>
      </c>
      <c r="P169" s="8">
        <f t="shared" ca="1" si="31"/>
        <v>634328.68935752427</v>
      </c>
      <c r="Q169" s="8">
        <f t="shared" ca="1" si="32"/>
        <v>59293.517214320367</v>
      </c>
      <c r="R169" s="13">
        <v>150000</v>
      </c>
      <c r="S169" s="13">
        <f ca="1">MIN(IF(AND(MONTH(A169)=5,'ÖNYP kalkulátor'!$IU$6="igen"),(M169+N169)*12/(1+IF('ÖNYP kalkulátor'!$C$16="nem",0,VLOOKUP(YEAR(A169),'ÖNYP kalkulátor'!$E$15:$J$75,4)))*0.2,0),R169)</f>
        <v>0</v>
      </c>
      <c r="T169" s="4">
        <f ca="1">(1+VLOOKUP(YEAR(A169),'ÖNYP kalkulátor'!$E$15:$F$75,2,FALSE)+VLOOKUP(YEAR(A169),'ÖNYP kalkulátor'!$E$15:$I$75,5,FALSE))^(1/12)-1</f>
        <v>4.0741237836483535E-3</v>
      </c>
      <c r="U169" s="8">
        <f t="shared" ca="1" si="27"/>
        <v>55687.306190835028</v>
      </c>
      <c r="V169" s="14">
        <f t="shared" ca="1" si="28"/>
        <v>13724222.959019572</v>
      </c>
      <c r="W169" s="8">
        <f t="shared" ca="1" si="29"/>
        <v>9081140.2182793207</v>
      </c>
    </row>
    <row r="170" spans="1:23" x14ac:dyDescent="0.2">
      <c r="A170" s="6">
        <f t="shared" ca="1" si="33"/>
        <v>50740</v>
      </c>
      <c r="B170" s="12">
        <f t="shared" ca="1" si="34"/>
        <v>12</v>
      </c>
      <c r="C170" s="7">
        <f ca="1">(YEAR(A170)-YEAR('ÖNYP kalkulátor'!$C$10))+(MONTH(CF!A170)-MONTH('ÖNYP kalkulátor'!$C$10)-1)/12</f>
        <v>57.5</v>
      </c>
      <c r="D170" s="4">
        <f ca="1">(1+VLOOKUP(YEAR(A170),'ÖNYP kalkulátor'!$E$15:$F$75,2,FALSE))^(1/12)-1</f>
        <v>2.4662697723036864E-3</v>
      </c>
      <c r="E170" s="4">
        <f t="shared" ca="1" si="37"/>
        <v>1.5150157650421803</v>
      </c>
      <c r="F170" s="8">
        <f t="shared" ca="1" si="38"/>
        <v>13724222.959019572</v>
      </c>
      <c r="G170" s="8">
        <v>10000</v>
      </c>
      <c r="H170" s="8">
        <v>250000</v>
      </c>
      <c r="I170" s="8">
        <v>500000</v>
      </c>
      <c r="J170" s="8">
        <v>750000</v>
      </c>
      <c r="K170" s="8"/>
      <c r="L170" s="4">
        <f ca="1">+IF('ÖNYP kalkulátor'!$C$16="nem",0,
IF(MONTH(A170)=1,VLOOKUP(YEAR(A170),'ÖNYP kalkulátor'!$E$15:$J$75,4),0))</f>
        <v>0</v>
      </c>
      <c r="M170" s="8">
        <f t="shared" ca="1" si="35"/>
        <v>45377.691745653348</v>
      </c>
      <c r="N170" s="8">
        <f t="shared" ca="1" si="36"/>
        <v>15125.897248551115</v>
      </c>
      <c r="O170" s="8">
        <f t="shared" ca="1" si="30"/>
        <v>726043.06793045381</v>
      </c>
      <c r="P170" s="8">
        <f t="shared" ca="1" si="31"/>
        <v>693622.20657184476</v>
      </c>
      <c r="Q170" s="8">
        <f t="shared" ca="1" si="32"/>
        <v>59293.517214320484</v>
      </c>
      <c r="R170" s="13">
        <v>150000</v>
      </c>
      <c r="S170" s="13">
        <f ca="1">MIN(IF(AND(MONTH(A170)=5,'ÖNYP kalkulátor'!$IU$6="igen"),(M170+N170)*12/(1+IF('ÖNYP kalkulátor'!$C$16="nem",0,VLOOKUP(YEAR(A170),'ÖNYP kalkulátor'!$E$15:$J$75,4)))*0.2,0),R170)</f>
        <v>0</v>
      </c>
      <c r="T170" s="4">
        <f ca="1">(1+VLOOKUP(YEAR(A170),'ÖNYP kalkulátor'!$E$15:$F$75,2,FALSE)+VLOOKUP(YEAR(A170),'ÖNYP kalkulátor'!$E$15:$I$75,5,FALSE))^(1/12)-1</f>
        <v>4.0741237836483535E-3</v>
      </c>
      <c r="U170" s="8">
        <f t="shared" ca="1" si="27"/>
        <v>56155.752298133448</v>
      </c>
      <c r="V170" s="14">
        <f t="shared" ca="1" si="28"/>
        <v>13839672.228532026</v>
      </c>
      <c r="W170" s="8">
        <f t="shared" ca="1" si="29"/>
        <v>9135002.1220054496</v>
      </c>
    </row>
    <row r="171" spans="1:23" x14ac:dyDescent="0.2">
      <c r="A171" s="6">
        <f t="shared" ca="1" si="33"/>
        <v>50771</v>
      </c>
      <c r="B171" s="12">
        <f t="shared" ca="1" si="34"/>
        <v>1</v>
      </c>
      <c r="C171" s="7">
        <f ca="1">(YEAR(A171)-YEAR('ÖNYP kalkulátor'!$C$10))+(MONTH(CF!A171)-MONTH('ÖNYP kalkulátor'!$C$10)-1)/12</f>
        <v>57.583333333333336</v>
      </c>
      <c r="D171" s="4">
        <f ca="1">(1+VLOOKUP(YEAR(A171),'ÖNYP kalkulátor'!$E$15:$F$75,2,FALSE))^(1/12)-1</f>
        <v>2.4662697723036864E-3</v>
      </c>
      <c r="E171" s="4">
        <f t="shared" ca="1" si="37"/>
        <v>1.5187522026280673</v>
      </c>
      <c r="F171" s="8">
        <f t="shared" ca="1" si="38"/>
        <v>13839672.228532026</v>
      </c>
      <c r="G171" s="8">
        <v>10000</v>
      </c>
      <c r="H171" s="8">
        <v>250000</v>
      </c>
      <c r="I171" s="8">
        <v>500000</v>
      </c>
      <c r="J171" s="8">
        <v>750000</v>
      </c>
      <c r="K171" s="8"/>
      <c r="L171" s="4">
        <f ca="1">+IF('ÖNYP kalkulátor'!$C$16="nem",0,
IF(MONTH(A171)=1,VLOOKUP(YEAR(A171),'ÖNYP kalkulátor'!$E$15:$J$75,4),0))</f>
        <v>0.03</v>
      </c>
      <c r="M171" s="8">
        <f t="shared" ca="1" si="35"/>
        <v>46739.022498022947</v>
      </c>
      <c r="N171" s="8">
        <f t="shared" ca="1" si="36"/>
        <v>15579.67416600765</v>
      </c>
      <c r="O171" s="8">
        <f t="shared" ca="1" si="30"/>
        <v>62318.696664030598</v>
      </c>
      <c r="P171" s="8">
        <f t="shared" ca="1" si="31"/>
        <v>58179.574864188762</v>
      </c>
      <c r="Q171" s="8">
        <f t="shared" ca="1" si="32"/>
        <v>58179.574864188762</v>
      </c>
      <c r="R171" s="13">
        <v>150000</v>
      </c>
      <c r="S171" s="13">
        <f ca="1">MIN(IF(AND(MONTH(A171)=5,'ÖNYP kalkulátor'!$IU$6="igen"),(M171+N171)*12/(1+IF('ÖNYP kalkulátor'!$C$16="nem",0,VLOOKUP(YEAR(A171),'ÖNYP kalkulátor'!$E$15:$J$75,4)))*0.2,0),R171)</f>
        <v>0</v>
      </c>
      <c r="T171" s="4">
        <f ca="1">(1+VLOOKUP(YEAR(A171),'ÖNYP kalkulátor'!$E$15:$F$75,2,FALSE)+VLOOKUP(YEAR(A171),'ÖNYP kalkulátor'!$E$15:$I$75,5,FALSE))^(1/12)-1</f>
        <v>4.0741237836483535E-3</v>
      </c>
      <c r="U171" s="8">
        <f t="shared" ca="1" si="27"/>
        <v>56621.568573836674</v>
      </c>
      <c r="V171" s="14">
        <f t="shared" ca="1" si="28"/>
        <v>13954473.37197005</v>
      </c>
      <c r="W171" s="8">
        <f t="shared" ca="1" si="29"/>
        <v>9188117.2898535114</v>
      </c>
    </row>
    <row r="172" spans="1:23" x14ac:dyDescent="0.2">
      <c r="A172" s="6">
        <f t="shared" ca="1" si="33"/>
        <v>50802</v>
      </c>
      <c r="B172" s="12">
        <f t="shared" ca="1" si="34"/>
        <v>2</v>
      </c>
      <c r="C172" s="7">
        <f ca="1">(YEAR(A172)-YEAR('ÖNYP kalkulátor'!$C$10))+(MONTH(CF!A172)-MONTH('ÖNYP kalkulátor'!$C$10)-1)/12</f>
        <v>57.666666666666664</v>
      </c>
      <c r="D172" s="4">
        <f ca="1">(1+VLOOKUP(YEAR(A172),'ÖNYP kalkulátor'!$E$15:$F$75,2,FALSE))^(1/12)-1</f>
        <v>2.4662697723036864E-3</v>
      </c>
      <c r="E172" s="4">
        <f t="shared" ca="1" si="37"/>
        <v>1.5224978552770285</v>
      </c>
      <c r="F172" s="8">
        <f t="shared" ca="1" si="38"/>
        <v>13954473.37197005</v>
      </c>
      <c r="G172" s="8">
        <v>10000</v>
      </c>
      <c r="H172" s="8">
        <v>250000</v>
      </c>
      <c r="I172" s="8">
        <v>500000</v>
      </c>
      <c r="J172" s="8">
        <v>750000</v>
      </c>
      <c r="K172" s="8"/>
      <c r="L172" s="4">
        <f ca="1">+IF('ÖNYP kalkulátor'!$C$16="nem",0,
IF(MONTH(A172)=1,VLOOKUP(YEAR(A172),'ÖNYP kalkulátor'!$E$15:$J$75,4),0))</f>
        <v>0</v>
      </c>
      <c r="M172" s="8">
        <f t="shared" ca="1" si="35"/>
        <v>46739.022498022947</v>
      </c>
      <c r="N172" s="8">
        <f t="shared" ca="1" si="36"/>
        <v>15579.67416600765</v>
      </c>
      <c r="O172" s="8">
        <f t="shared" ca="1" si="30"/>
        <v>124637.3933280612</v>
      </c>
      <c r="P172" s="8">
        <f t="shared" ca="1" si="31"/>
        <v>116759.14972837752</v>
      </c>
      <c r="Q172" s="8">
        <f t="shared" ca="1" si="32"/>
        <v>58579.574864188762</v>
      </c>
      <c r="R172" s="13">
        <v>150000</v>
      </c>
      <c r="S172" s="13">
        <f ca="1">MIN(IF(AND(MONTH(A172)=5,'ÖNYP kalkulátor'!$IU$6="igen"),(M172+N172)*12/(1+IF('ÖNYP kalkulátor'!$C$16="nem",0,VLOOKUP(YEAR(A172),'ÖNYP kalkulátor'!$E$15:$J$75,4)))*0.2,0),R172)</f>
        <v>0</v>
      </c>
      <c r="T172" s="4">
        <f ca="1">(1+VLOOKUP(YEAR(A172),'ÖNYP kalkulátor'!$E$15:$F$75,2,FALSE)+VLOOKUP(YEAR(A172),'ÖNYP kalkulátor'!$E$15:$I$75,5,FALSE))^(1/12)-1</f>
        <v>4.0741237836483535E-3</v>
      </c>
      <c r="U172" s="8">
        <f t="shared" ca="1" si="27"/>
        <v>57090.912292221015</v>
      </c>
      <c r="V172" s="14">
        <f t="shared" ca="1" si="28"/>
        <v>14070143.85912646</v>
      </c>
      <c r="W172" s="8">
        <f t="shared" ca="1" si="29"/>
        <v>9241486.8174420539</v>
      </c>
    </row>
    <row r="173" spans="1:23" x14ac:dyDescent="0.2">
      <c r="A173" s="6">
        <f t="shared" ca="1" si="33"/>
        <v>50830</v>
      </c>
      <c r="B173" s="12">
        <f t="shared" ca="1" si="34"/>
        <v>3</v>
      </c>
      <c r="C173" s="7">
        <f ca="1">(YEAR(A173)-YEAR('ÖNYP kalkulátor'!$C$10))+(MONTH(CF!A173)-MONTH('ÖNYP kalkulátor'!$C$10)-1)/12</f>
        <v>57.75</v>
      </c>
      <c r="D173" s="4">
        <f ca="1">(1+VLOOKUP(YEAR(A173),'ÖNYP kalkulátor'!$E$15:$F$75,2,FALSE))^(1/12)-1</f>
        <v>2.4662697723036864E-3</v>
      </c>
      <c r="E173" s="4">
        <f t="shared" ca="1" si="37"/>
        <v>1.5262527457158954</v>
      </c>
      <c r="F173" s="8">
        <f t="shared" ca="1" si="38"/>
        <v>14070143.85912646</v>
      </c>
      <c r="G173" s="8">
        <v>10000</v>
      </c>
      <c r="H173" s="8">
        <v>250000</v>
      </c>
      <c r="I173" s="8">
        <v>500000</v>
      </c>
      <c r="J173" s="8">
        <v>750000</v>
      </c>
      <c r="K173" s="8"/>
      <c r="L173" s="4">
        <f ca="1">+IF('ÖNYP kalkulátor'!$C$16="nem",0,
IF(MONTH(A173)=1,VLOOKUP(YEAR(A173),'ÖNYP kalkulátor'!$E$15:$J$75,4),0))</f>
        <v>0</v>
      </c>
      <c r="M173" s="8">
        <f t="shared" ca="1" si="35"/>
        <v>46739.022498022947</v>
      </c>
      <c r="N173" s="8">
        <f t="shared" ca="1" si="36"/>
        <v>15579.67416600765</v>
      </c>
      <c r="O173" s="8">
        <f t="shared" ca="1" si="30"/>
        <v>186956.08999209179</v>
      </c>
      <c r="P173" s="8">
        <f t="shared" ca="1" si="31"/>
        <v>175338.72459256626</v>
      </c>
      <c r="Q173" s="8">
        <f t="shared" ca="1" si="32"/>
        <v>58579.574864188733</v>
      </c>
      <c r="R173" s="13">
        <v>150000</v>
      </c>
      <c r="S173" s="13">
        <f ca="1">MIN(IF(AND(MONTH(A173)=5,'ÖNYP kalkulátor'!$IU$6="igen"),(M173+N173)*12/(1+IF('ÖNYP kalkulátor'!$C$16="nem",0,VLOOKUP(YEAR(A173),'ÖNYP kalkulátor'!$E$15:$J$75,4)))*0.2,0),R173)</f>
        <v>0</v>
      </c>
      <c r="T173" s="4">
        <f ca="1">(1+VLOOKUP(YEAR(A173),'ÖNYP kalkulátor'!$E$15:$F$75,2,FALSE)+VLOOKUP(YEAR(A173),'ÖNYP kalkulátor'!$E$15:$I$75,5,FALSE))^(1/12)-1</f>
        <v>4.0741237836483535E-3</v>
      </c>
      <c r="U173" s="8">
        <f t="shared" ca="1" si="27"/>
        <v>57562.168175011138</v>
      </c>
      <c r="V173" s="14">
        <f t="shared" ca="1" si="28"/>
        <v>14186285.60216566</v>
      </c>
      <c r="W173" s="8">
        <f t="shared" ca="1" si="29"/>
        <v>9294846.9000208229</v>
      </c>
    </row>
    <row r="174" spans="1:23" x14ac:dyDescent="0.2">
      <c r="A174" s="6">
        <f t="shared" ca="1" si="33"/>
        <v>50861</v>
      </c>
      <c r="B174" s="12">
        <f t="shared" ca="1" si="34"/>
        <v>4</v>
      </c>
      <c r="C174" s="7">
        <f ca="1">(YEAR(A174)-YEAR('ÖNYP kalkulátor'!$C$10))+(MONTH(CF!A174)-MONTH('ÖNYP kalkulátor'!$C$10)-1)/12</f>
        <v>57.833333333333336</v>
      </c>
      <c r="D174" s="4">
        <f ca="1">(1+VLOOKUP(YEAR(A174),'ÖNYP kalkulátor'!$E$15:$F$75,2,FALSE))^(1/12)-1</f>
        <v>2.4662697723036864E-3</v>
      </c>
      <c r="E174" s="4">
        <f t="shared" ca="1" si="37"/>
        <v>1.53001689672755</v>
      </c>
      <c r="F174" s="8">
        <f t="shared" ca="1" si="38"/>
        <v>14186285.60216566</v>
      </c>
      <c r="G174" s="8">
        <v>10000</v>
      </c>
      <c r="H174" s="8">
        <v>250000</v>
      </c>
      <c r="I174" s="8">
        <v>500000</v>
      </c>
      <c r="J174" s="8">
        <v>750000</v>
      </c>
      <c r="K174" s="8"/>
      <c r="L174" s="4">
        <f ca="1">+IF('ÖNYP kalkulátor'!$C$16="nem",0,
IF(MONTH(A174)=1,VLOOKUP(YEAR(A174),'ÖNYP kalkulátor'!$E$15:$J$75,4),0))</f>
        <v>0</v>
      </c>
      <c r="M174" s="8">
        <f t="shared" ca="1" si="35"/>
        <v>46739.022498022947</v>
      </c>
      <c r="N174" s="8">
        <f t="shared" ca="1" si="36"/>
        <v>15579.67416600765</v>
      </c>
      <c r="O174" s="8">
        <f t="shared" ca="1" si="30"/>
        <v>249274.78665612236</v>
      </c>
      <c r="P174" s="8">
        <f t="shared" ca="1" si="31"/>
        <v>233918.29945675502</v>
      </c>
      <c r="Q174" s="8">
        <f t="shared" ca="1" si="32"/>
        <v>58579.574864188762</v>
      </c>
      <c r="R174" s="13">
        <v>150000</v>
      </c>
      <c r="S174" s="13">
        <f ca="1">MIN(IF(AND(MONTH(A174)=5,'ÖNYP kalkulátor'!$IU$6="igen"),(M174+N174)*12/(1+IF('ÖNYP kalkulátor'!$C$16="nem",0,VLOOKUP(YEAR(A174),'ÖNYP kalkulátor'!$E$15:$J$75,4)))*0.2,0),R174)</f>
        <v>0</v>
      </c>
      <c r="T174" s="4">
        <f ca="1">(1+VLOOKUP(YEAR(A174),'ÖNYP kalkulátor'!$E$15:$F$75,2,FALSE)+VLOOKUP(YEAR(A174),'ÖNYP kalkulátor'!$E$15:$I$75,5,FALSE))^(1/12)-1</f>
        <v>4.0741237836483535E-3</v>
      </c>
      <c r="U174" s="8">
        <f t="shared" ca="1" si="27"/>
        <v>58035.344012601519</v>
      </c>
      <c r="V174" s="14">
        <f t="shared" ca="1" si="28"/>
        <v>14302900.521042449</v>
      </c>
      <c r="W174" s="8">
        <f t="shared" ca="1" si="29"/>
        <v>9348197.7562692016</v>
      </c>
    </row>
    <row r="175" spans="1:23" x14ac:dyDescent="0.2">
      <c r="A175" s="6">
        <f t="shared" ca="1" si="33"/>
        <v>50891</v>
      </c>
      <c r="B175" s="12">
        <f t="shared" ca="1" si="34"/>
        <v>5</v>
      </c>
      <c r="C175" s="7">
        <f ca="1">(YEAR(A175)-YEAR('ÖNYP kalkulátor'!$C$10))+(MONTH(CF!A175)-MONTH('ÖNYP kalkulátor'!$C$10)-1)/12</f>
        <v>57.916666666666664</v>
      </c>
      <c r="D175" s="4">
        <f ca="1">(1+VLOOKUP(YEAR(A175),'ÖNYP kalkulátor'!$E$15:$F$75,2,FALSE))^(1/12)-1</f>
        <v>2.4662697723036864E-3</v>
      </c>
      <c r="E175" s="4">
        <f t="shared" ca="1" si="37"/>
        <v>1.533790331151063</v>
      </c>
      <c r="F175" s="8">
        <f t="shared" ca="1" si="38"/>
        <v>14302900.521042449</v>
      </c>
      <c r="G175" s="8">
        <v>10000</v>
      </c>
      <c r="H175" s="8">
        <v>250000</v>
      </c>
      <c r="I175" s="8">
        <v>500000</v>
      </c>
      <c r="J175" s="8">
        <v>750000</v>
      </c>
      <c r="K175" s="8"/>
      <c r="L175" s="4">
        <f ca="1">+IF('ÖNYP kalkulátor'!$C$16="nem",0,
IF(MONTH(A175)=1,VLOOKUP(YEAR(A175),'ÖNYP kalkulátor'!$E$15:$J$75,4),0))</f>
        <v>0</v>
      </c>
      <c r="M175" s="8">
        <f t="shared" ca="1" si="35"/>
        <v>46739.022498022947</v>
      </c>
      <c r="N175" s="8">
        <f t="shared" ca="1" si="36"/>
        <v>15579.67416600765</v>
      </c>
      <c r="O175" s="8">
        <f t="shared" ca="1" si="30"/>
        <v>311593.48332015297</v>
      </c>
      <c r="P175" s="8">
        <f t="shared" ca="1" si="31"/>
        <v>293113.8091541453</v>
      </c>
      <c r="Q175" s="8">
        <f t="shared" ca="1" si="32"/>
        <v>59195.509697390284</v>
      </c>
      <c r="R175" s="13">
        <v>150000</v>
      </c>
      <c r="S175" s="13">
        <f ca="1">MIN(IF(AND(MONTH(A175)=5,'ÖNYP kalkulátor'!$IU$6="igen"),(M175+N175)*12/(1+IF('ÖNYP kalkulátor'!$C$16="nem",0,VLOOKUP(YEAR(A175),'ÖNYP kalkulátor'!$E$15:$J$75,4)))*0.2,0),R175)</f>
        <v>145208.61358609071</v>
      </c>
      <c r="T175" s="4">
        <f ca="1">(1+VLOOKUP(YEAR(A175),'ÖNYP kalkulátor'!$E$15:$F$75,2,FALSE)+VLOOKUP(YEAR(A175),'ÖNYP kalkulátor'!$E$15:$I$75,5,FALSE))^(1/12)-1</f>
        <v>4.0741237836483535E-3</v>
      </c>
      <c r="U175" s="8">
        <f t="shared" ca="1" si="27"/>
        <v>59104.554888080493</v>
      </c>
      <c r="V175" s="14">
        <f t="shared" ca="1" si="28"/>
        <v>14566409.199214011</v>
      </c>
      <c r="W175" s="8">
        <f t="shared" ca="1" si="29"/>
        <v>9497001.5805761162</v>
      </c>
    </row>
    <row r="176" spans="1:23" x14ac:dyDescent="0.2">
      <c r="A176" s="6">
        <f t="shared" ca="1" si="33"/>
        <v>50922</v>
      </c>
      <c r="B176" s="12">
        <f t="shared" ca="1" si="34"/>
        <v>6</v>
      </c>
      <c r="C176" s="7">
        <f ca="1">(YEAR(A176)-YEAR('ÖNYP kalkulátor'!$C$10))+(MONTH(CF!A176)-MONTH('ÖNYP kalkulátor'!$C$10)-1)/12</f>
        <v>58</v>
      </c>
      <c r="D176" s="4">
        <f ca="1">(1+VLOOKUP(YEAR(A176),'ÖNYP kalkulátor'!$E$15:$F$75,2,FALSE))^(1/12)-1</f>
        <v>2.4662697723036864E-3</v>
      </c>
      <c r="E176" s="4">
        <f t="shared" ca="1" si="37"/>
        <v>1.5375730718818326</v>
      </c>
      <c r="F176" s="8">
        <f t="shared" ca="1" si="38"/>
        <v>14566409.199214011</v>
      </c>
      <c r="G176" s="8">
        <v>10000</v>
      </c>
      <c r="H176" s="8">
        <v>250000</v>
      </c>
      <c r="I176" s="8">
        <v>500000</v>
      </c>
      <c r="J176" s="8">
        <v>750000</v>
      </c>
      <c r="K176" s="8"/>
      <c r="L176" s="4">
        <f ca="1">+IF('ÖNYP kalkulátor'!$C$16="nem",0,
IF(MONTH(A176)=1,VLOOKUP(YEAR(A176),'ÖNYP kalkulátor'!$E$15:$J$75,4),0))</f>
        <v>0</v>
      </c>
      <c r="M176" s="8">
        <f t="shared" ca="1" si="35"/>
        <v>46739.022498022947</v>
      </c>
      <c r="N176" s="8">
        <f t="shared" ca="1" si="36"/>
        <v>15579.67416600765</v>
      </c>
      <c r="O176" s="8">
        <f t="shared" ca="1" si="30"/>
        <v>373912.17998418357</v>
      </c>
      <c r="P176" s="8">
        <f t="shared" ca="1" si="31"/>
        <v>352316.57098497439</v>
      </c>
      <c r="Q176" s="8">
        <f t="shared" ca="1" si="32"/>
        <v>59202.761830829084</v>
      </c>
      <c r="R176" s="13">
        <v>150000</v>
      </c>
      <c r="S176" s="13">
        <f ca="1">MIN(IF(AND(MONTH(A176)=5,'ÖNYP kalkulátor'!$IU$6="igen"),(M176+N176)*12/(1+IF('ÖNYP kalkulátor'!$C$16="nem",0,VLOOKUP(YEAR(A176),'ÖNYP kalkulátor'!$E$15:$J$75,4)))*0.2,0),R176)</f>
        <v>0</v>
      </c>
      <c r="T176" s="4">
        <f ca="1">(1+VLOOKUP(YEAR(A176),'ÖNYP kalkulátor'!$E$15:$F$75,2,FALSE)+VLOOKUP(YEAR(A176),'ÖNYP kalkulátor'!$E$15:$I$75,5,FALSE))^(1/12)-1</f>
        <v>4.0741237836483535E-3</v>
      </c>
      <c r="U176" s="8">
        <f t="shared" ca="1" si="27"/>
        <v>59586.553540904621</v>
      </c>
      <c r="V176" s="14">
        <f t="shared" ca="1" si="28"/>
        <v>14685198.514585745</v>
      </c>
      <c r="W176" s="8">
        <f t="shared" ca="1" si="29"/>
        <v>9550894.7074707542</v>
      </c>
    </row>
    <row r="177" spans="1:23" x14ac:dyDescent="0.2">
      <c r="A177" s="6">
        <f t="shared" ca="1" si="33"/>
        <v>50952</v>
      </c>
      <c r="B177" s="12">
        <f t="shared" ca="1" si="34"/>
        <v>7</v>
      </c>
      <c r="C177" s="7">
        <f ca="1">(YEAR(A177)-YEAR('ÖNYP kalkulátor'!$C$10))+(MONTH(CF!A177)-MONTH('ÖNYP kalkulátor'!$C$10)-1)/12</f>
        <v>58.083333333333336</v>
      </c>
      <c r="D177" s="4">
        <f ca="1">(1+VLOOKUP(YEAR(A177),'ÖNYP kalkulátor'!$E$15:$F$75,2,FALSE))^(1/12)-1</f>
        <v>2.4662697723036864E-3</v>
      </c>
      <c r="E177" s="4">
        <f t="shared" ca="1" si="37"/>
        <v>1.5413651418717229</v>
      </c>
      <c r="F177" s="8">
        <f t="shared" ca="1" si="38"/>
        <v>14685198.514585745</v>
      </c>
      <c r="G177" s="8">
        <v>10000</v>
      </c>
      <c r="H177" s="8">
        <v>250000</v>
      </c>
      <c r="I177" s="8">
        <v>500000</v>
      </c>
      <c r="J177" s="8">
        <v>750000</v>
      </c>
      <c r="K177" s="8"/>
      <c r="L177" s="4">
        <f ca="1">+IF('ÖNYP kalkulátor'!$C$16="nem",0,
IF(MONTH(A177)=1,VLOOKUP(YEAR(A177),'ÖNYP kalkulátor'!$E$15:$J$75,4),0))</f>
        <v>0</v>
      </c>
      <c r="M177" s="8">
        <f t="shared" ca="1" si="35"/>
        <v>46739.022498022947</v>
      </c>
      <c r="N177" s="8">
        <f t="shared" ca="1" si="36"/>
        <v>15579.67416600765</v>
      </c>
      <c r="O177" s="8">
        <f t="shared" ca="1" si="30"/>
        <v>436230.87664821418</v>
      </c>
      <c r="P177" s="8">
        <f t="shared" ca="1" si="31"/>
        <v>411519.33281580347</v>
      </c>
      <c r="Q177" s="8">
        <f t="shared" ca="1" si="32"/>
        <v>59202.761830829084</v>
      </c>
      <c r="R177" s="13">
        <v>150000</v>
      </c>
      <c r="S177" s="13">
        <f ca="1">MIN(IF(AND(MONTH(A177)=5,'ÖNYP kalkulátor'!$IU$6="igen"),(M177+N177)*12/(1+IF('ÖNYP kalkulátor'!$C$16="nem",0,VLOOKUP(YEAR(A177),'ÖNYP kalkulátor'!$E$15:$J$75,4)))*0.2,0),R177)</f>
        <v>0</v>
      </c>
      <c r="T177" s="4">
        <f ca="1">(1+VLOOKUP(YEAR(A177),'ÖNYP kalkulátor'!$E$15:$F$75,2,FALSE)+VLOOKUP(YEAR(A177),'ÖNYP kalkulátor'!$E$15:$I$75,5,FALSE))^(1/12)-1</f>
        <v>4.0741237836483535E-3</v>
      </c>
      <c r="U177" s="8">
        <f t="shared" ca="1" si="27"/>
        <v>60070.515915903903</v>
      </c>
      <c r="V177" s="14">
        <f t="shared" ca="1" si="28"/>
        <v>14804471.792332478</v>
      </c>
      <c r="W177" s="8">
        <f t="shared" ca="1" si="29"/>
        <v>9604779.1598264594</v>
      </c>
    </row>
    <row r="178" spans="1:23" x14ac:dyDescent="0.2">
      <c r="A178" s="6">
        <f t="shared" ca="1" si="33"/>
        <v>50983</v>
      </c>
      <c r="B178" s="12">
        <f t="shared" ca="1" si="34"/>
        <v>8</v>
      </c>
      <c r="C178" s="7">
        <f ca="1">(YEAR(A178)-YEAR('ÖNYP kalkulátor'!$C$10))+(MONTH(CF!A178)-MONTH('ÖNYP kalkulátor'!$C$10)-1)/12</f>
        <v>58.166666666666664</v>
      </c>
      <c r="D178" s="4">
        <f ca="1">(1+VLOOKUP(YEAR(A178),'ÖNYP kalkulátor'!$E$15:$F$75,2,FALSE))^(1/12)-1</f>
        <v>2.4662697723036864E-3</v>
      </c>
      <c r="E178" s="4">
        <f t="shared" ca="1" si="37"/>
        <v>1.5451665641292038</v>
      </c>
      <c r="F178" s="8">
        <f t="shared" ca="1" si="38"/>
        <v>14804471.792332478</v>
      </c>
      <c r="G178" s="8">
        <v>10000</v>
      </c>
      <c r="H178" s="8">
        <v>250000</v>
      </c>
      <c r="I178" s="8">
        <v>500000</v>
      </c>
      <c r="J178" s="8">
        <v>750000</v>
      </c>
      <c r="K178" s="8"/>
      <c r="L178" s="4">
        <f ca="1">+IF('ÖNYP kalkulátor'!$C$16="nem",0,
IF(MONTH(A178)=1,VLOOKUP(YEAR(A178),'ÖNYP kalkulátor'!$E$15:$J$75,4),0))</f>
        <v>0</v>
      </c>
      <c r="M178" s="8">
        <f t="shared" ca="1" si="35"/>
        <v>46739.022498022947</v>
      </c>
      <c r="N178" s="8">
        <f t="shared" ca="1" si="36"/>
        <v>15579.67416600765</v>
      </c>
      <c r="O178" s="8">
        <f t="shared" ca="1" si="30"/>
        <v>498549.57331224479</v>
      </c>
      <c r="P178" s="8">
        <f t="shared" ca="1" si="31"/>
        <v>470722.09464663255</v>
      </c>
      <c r="Q178" s="8">
        <f t="shared" ca="1" si="32"/>
        <v>59202.761830829084</v>
      </c>
      <c r="R178" s="13">
        <v>150000</v>
      </c>
      <c r="S178" s="13">
        <f ca="1">MIN(IF(AND(MONTH(A178)=5,'ÖNYP kalkulátor'!$IU$6="igen"),(M178+N178)*12/(1+IF('ÖNYP kalkulátor'!$C$16="nem",0,VLOOKUP(YEAR(A178),'ÖNYP kalkulátor'!$E$15:$J$75,4)))*0.2,0),R178)</f>
        <v>0</v>
      </c>
      <c r="T178" s="4">
        <f ca="1">(1+VLOOKUP(YEAR(A178),'ÖNYP kalkulátor'!$E$15:$F$75,2,FALSE)+VLOOKUP(YEAR(A178),'ÖNYP kalkulátor'!$E$15:$I$75,5,FALSE))^(1/12)-1</f>
        <v>4.0741237836483535E-3</v>
      </c>
      <c r="U178" s="8">
        <f t="shared" ca="1" si="27"/>
        <v>60556.450013525566</v>
      </c>
      <c r="V178" s="14">
        <f t="shared" ca="1" si="28"/>
        <v>14924231.004176833</v>
      </c>
      <c r="W178" s="8">
        <f t="shared" ca="1" si="29"/>
        <v>9658655.1577289365</v>
      </c>
    </row>
    <row r="179" spans="1:23" x14ac:dyDescent="0.2">
      <c r="A179" s="6">
        <f t="shared" ca="1" si="33"/>
        <v>51014</v>
      </c>
      <c r="B179" s="12">
        <f t="shared" ca="1" si="34"/>
        <v>9</v>
      </c>
      <c r="C179" s="7">
        <f ca="1">(YEAR(A179)-YEAR('ÖNYP kalkulátor'!$C$10))+(MONTH(CF!A179)-MONTH('ÖNYP kalkulátor'!$C$10)-1)/12</f>
        <v>58.25</v>
      </c>
      <c r="D179" s="4">
        <f ca="1">(1+VLOOKUP(YEAR(A179),'ÖNYP kalkulátor'!$E$15:$F$75,2,FALSE))^(1/12)-1</f>
        <v>2.4662697723036864E-3</v>
      </c>
      <c r="E179" s="4">
        <f t="shared" ca="1" si="37"/>
        <v>1.54897736171949</v>
      </c>
      <c r="F179" s="8">
        <f t="shared" ca="1" si="38"/>
        <v>14924231.004176833</v>
      </c>
      <c r="G179" s="8">
        <v>10000</v>
      </c>
      <c r="H179" s="8">
        <v>250000</v>
      </c>
      <c r="I179" s="8">
        <v>500000</v>
      </c>
      <c r="J179" s="8">
        <v>750000</v>
      </c>
      <c r="K179" s="8"/>
      <c r="L179" s="4">
        <f ca="1">+IF('ÖNYP kalkulátor'!$C$16="nem",0,
IF(MONTH(A179)=1,VLOOKUP(YEAR(A179),'ÖNYP kalkulátor'!$E$15:$J$75,4),0))</f>
        <v>0</v>
      </c>
      <c r="M179" s="8">
        <f t="shared" ca="1" si="35"/>
        <v>46739.022498022947</v>
      </c>
      <c r="N179" s="8">
        <f t="shared" ca="1" si="36"/>
        <v>15579.67416600765</v>
      </c>
      <c r="O179" s="8">
        <f t="shared" ca="1" si="30"/>
        <v>560868.26997627539</v>
      </c>
      <c r="P179" s="8">
        <f t="shared" ca="1" si="31"/>
        <v>531750.90457674989</v>
      </c>
      <c r="Q179" s="8">
        <f t="shared" ca="1" si="32"/>
        <v>61028.809930117335</v>
      </c>
      <c r="R179" s="13">
        <v>150000</v>
      </c>
      <c r="S179" s="13">
        <f ca="1">MIN(IF(AND(MONTH(A179)=5,'ÖNYP kalkulátor'!$IU$6="igen"),(M179+N179)*12/(1+IF('ÖNYP kalkulátor'!$C$16="nem",0,VLOOKUP(YEAR(A179),'ÖNYP kalkulátor'!$E$15:$J$75,4)))*0.2,0),R179)</f>
        <v>0</v>
      </c>
      <c r="T179" s="4">
        <f ca="1">(1+VLOOKUP(YEAR(A179),'ÖNYP kalkulátor'!$E$15:$F$75,2,FALSE)+VLOOKUP(YEAR(A179),'ÖNYP kalkulátor'!$E$15:$I$75,5,FALSE))^(1/12)-1</f>
        <v>4.0741237836483535E-3</v>
      </c>
      <c r="U179" s="8">
        <f t="shared" ca="1" si="27"/>
        <v>61051.803412803034</v>
      </c>
      <c r="V179" s="14">
        <f t="shared" ca="1" si="28"/>
        <v>15046311.617519753</v>
      </c>
      <c r="W179" s="8">
        <f t="shared" ca="1" si="29"/>
        <v>9713706.5972462837</v>
      </c>
    </row>
    <row r="180" spans="1:23" x14ac:dyDescent="0.2">
      <c r="A180" s="6">
        <f t="shared" ca="1" si="33"/>
        <v>51044</v>
      </c>
      <c r="B180" s="12">
        <f t="shared" ca="1" si="34"/>
        <v>10</v>
      </c>
      <c r="C180" s="7">
        <f ca="1">(YEAR(A180)-YEAR('ÖNYP kalkulátor'!$C$10))+(MONTH(CF!A180)-MONTH('ÖNYP kalkulátor'!$C$10)-1)/12</f>
        <v>58.333333333333336</v>
      </c>
      <c r="D180" s="4">
        <f ca="1">(1+VLOOKUP(YEAR(A180),'ÖNYP kalkulátor'!$E$15:$F$75,2,FALSE))^(1/12)-1</f>
        <v>2.4662697723036864E-3</v>
      </c>
      <c r="E180" s="4">
        <f t="shared" ca="1" si="37"/>
        <v>1.5527975577646815</v>
      </c>
      <c r="F180" s="8">
        <f t="shared" ca="1" si="38"/>
        <v>15046311.617519753</v>
      </c>
      <c r="G180" s="8">
        <v>10000</v>
      </c>
      <c r="H180" s="8">
        <v>250000</v>
      </c>
      <c r="I180" s="8">
        <v>500000</v>
      </c>
      <c r="J180" s="8">
        <v>750000</v>
      </c>
      <c r="K180" s="8"/>
      <c r="L180" s="4">
        <f ca="1">+IF('ÖNYP kalkulátor'!$C$16="nem",0,
IF(MONTH(A180)=1,VLOOKUP(YEAR(A180),'ÖNYP kalkulátor'!$E$15:$J$75,4),0))</f>
        <v>0</v>
      </c>
      <c r="M180" s="8">
        <f t="shared" ca="1" si="35"/>
        <v>46739.022498022947</v>
      </c>
      <c r="N180" s="8">
        <f t="shared" ca="1" si="36"/>
        <v>15579.67416600765</v>
      </c>
      <c r="O180" s="8">
        <f t="shared" ca="1" si="30"/>
        <v>623186.96664030605</v>
      </c>
      <c r="P180" s="8">
        <f t="shared" ca="1" si="31"/>
        <v>592823.22730749997</v>
      </c>
      <c r="Q180" s="8">
        <f t="shared" ca="1" si="32"/>
        <v>61072.322730750078</v>
      </c>
      <c r="R180" s="13">
        <v>150000</v>
      </c>
      <c r="S180" s="13">
        <f ca="1">MIN(IF(AND(MONTH(A180)=5,'ÖNYP kalkulátor'!$IU$6="igen"),(M180+N180)*12/(1+IF('ÖNYP kalkulátor'!$C$16="nem",0,VLOOKUP(YEAR(A180),'ÖNYP kalkulátor'!$E$15:$J$75,4)))*0.2,0),R180)</f>
        <v>0</v>
      </c>
      <c r="T180" s="4">
        <f ca="1">(1+VLOOKUP(YEAR(A180),'ÖNYP kalkulátor'!$E$15:$F$75,2,FALSE)+VLOOKUP(YEAR(A180),'ÖNYP kalkulátor'!$E$15:$I$75,5,FALSE))^(1/12)-1</f>
        <v>4.0741237836483535E-3</v>
      </c>
      <c r="U180" s="8">
        <f t="shared" ca="1" si="27"/>
        <v>61549.35221968175</v>
      </c>
      <c r="V180" s="14">
        <f t="shared" ca="1" si="28"/>
        <v>15168933.292470185</v>
      </c>
      <c r="W180" s="8">
        <f t="shared" ca="1" si="29"/>
        <v>9768777.1445921864</v>
      </c>
    </row>
    <row r="181" spans="1:23" x14ac:dyDescent="0.2">
      <c r="A181" s="6">
        <f t="shared" ca="1" si="33"/>
        <v>51075</v>
      </c>
      <c r="B181" s="12">
        <f t="shared" ca="1" si="34"/>
        <v>11</v>
      </c>
      <c r="C181" s="7">
        <f ca="1">(YEAR(A181)-YEAR('ÖNYP kalkulátor'!$C$10))+(MONTH(CF!A181)-MONTH('ÖNYP kalkulátor'!$C$10)-1)/12</f>
        <v>58.416666666666664</v>
      </c>
      <c r="D181" s="4">
        <f ca="1">(1+VLOOKUP(YEAR(A181),'ÖNYP kalkulátor'!$E$15:$F$75,2,FALSE))^(1/12)-1</f>
        <v>2.4662697723036864E-3</v>
      </c>
      <c r="E181" s="4">
        <f t="shared" ca="1" si="37"/>
        <v>1.5566271754439036</v>
      </c>
      <c r="F181" s="8">
        <f t="shared" ca="1" si="38"/>
        <v>15168933.292470185</v>
      </c>
      <c r="G181" s="8">
        <v>10000</v>
      </c>
      <c r="H181" s="8">
        <v>250000</v>
      </c>
      <c r="I181" s="8">
        <v>500000</v>
      </c>
      <c r="J181" s="8">
        <v>750000</v>
      </c>
      <c r="K181" s="8"/>
      <c r="L181" s="4">
        <f ca="1">+IF('ÖNYP kalkulátor'!$C$16="nem",0,
IF(MONTH(A181)=1,VLOOKUP(YEAR(A181),'ÖNYP kalkulátor'!$E$15:$J$75,4),0))</f>
        <v>0</v>
      </c>
      <c r="M181" s="8">
        <f t="shared" ca="1" si="35"/>
        <v>46739.022498022947</v>
      </c>
      <c r="N181" s="8">
        <f t="shared" ca="1" si="36"/>
        <v>15579.67416600765</v>
      </c>
      <c r="O181" s="8">
        <f t="shared" ca="1" si="30"/>
        <v>685505.66330433672</v>
      </c>
      <c r="P181" s="8">
        <f t="shared" ca="1" si="31"/>
        <v>653895.55003824993</v>
      </c>
      <c r="Q181" s="8">
        <f t="shared" ca="1" si="32"/>
        <v>61072.322730749962</v>
      </c>
      <c r="R181" s="13">
        <v>150000</v>
      </c>
      <c r="S181" s="13">
        <f ca="1">MIN(IF(AND(MONTH(A181)=5,'ÖNYP kalkulátor'!$IU$6="igen"),(M181+N181)*12/(1+IF('ÖNYP kalkulátor'!$C$16="nem",0,VLOOKUP(YEAR(A181),'ÖNYP kalkulátor'!$E$15:$J$75,4)))*0.2,0),R181)</f>
        <v>0</v>
      </c>
      <c r="T181" s="4">
        <f ca="1">(1+VLOOKUP(YEAR(A181),'ÖNYP kalkulátor'!$E$15:$F$75,2,FALSE)+VLOOKUP(YEAR(A181),'ÖNYP kalkulátor'!$E$15:$I$75,5,FALSE))^(1/12)-1</f>
        <v>4.0741237836483535E-3</v>
      </c>
      <c r="U181" s="8">
        <f t="shared" ca="1" si="27"/>
        <v>62048.928101988102</v>
      </c>
      <c r="V181" s="14">
        <f t="shared" ca="1" si="28"/>
        <v>15292054.543302923</v>
      </c>
      <c r="W181" s="8">
        <f t="shared" ca="1" si="29"/>
        <v>9823838.8642688878</v>
      </c>
    </row>
    <row r="182" spans="1:23" x14ac:dyDescent="0.2">
      <c r="A182" s="6">
        <f t="shared" ca="1" si="33"/>
        <v>51105</v>
      </c>
      <c r="B182" s="12">
        <f t="shared" ca="1" si="34"/>
        <v>12</v>
      </c>
      <c r="C182" s="7">
        <f ca="1">(YEAR(A182)-YEAR('ÖNYP kalkulátor'!$C$10))+(MONTH(CF!A182)-MONTH('ÖNYP kalkulátor'!$C$10)-1)/12</f>
        <v>58.5</v>
      </c>
      <c r="D182" s="4">
        <f ca="1">(1+VLOOKUP(YEAR(A182),'ÖNYP kalkulátor'!$E$15:$F$75,2,FALSE))^(1/12)-1</f>
        <v>2.4662697723036864E-3</v>
      </c>
      <c r="E182" s="4">
        <f t="shared" ca="1" si="37"/>
        <v>1.5604662379934473</v>
      </c>
      <c r="F182" s="8">
        <f t="shared" ca="1" si="38"/>
        <v>15292054.543302923</v>
      </c>
      <c r="G182" s="8">
        <v>10000</v>
      </c>
      <c r="H182" s="8">
        <v>250000</v>
      </c>
      <c r="I182" s="8">
        <v>500000</v>
      </c>
      <c r="J182" s="8">
        <v>750000</v>
      </c>
      <c r="K182" s="8"/>
      <c r="L182" s="4">
        <f ca="1">+IF('ÖNYP kalkulátor'!$C$16="nem",0,
IF(MONTH(A182)=1,VLOOKUP(YEAR(A182),'ÖNYP kalkulátor'!$E$15:$J$75,4),0))</f>
        <v>0</v>
      </c>
      <c r="M182" s="8">
        <f t="shared" ca="1" si="35"/>
        <v>46739.022498022947</v>
      </c>
      <c r="N182" s="8">
        <f t="shared" ca="1" si="36"/>
        <v>15579.67416600765</v>
      </c>
      <c r="O182" s="8">
        <f t="shared" ca="1" si="30"/>
        <v>747824.35996836738</v>
      </c>
      <c r="P182" s="8">
        <f t="shared" ca="1" si="31"/>
        <v>714967.87276900001</v>
      </c>
      <c r="Q182" s="8">
        <f t="shared" ca="1" si="32"/>
        <v>61072.322730750078</v>
      </c>
      <c r="R182" s="13">
        <v>150000</v>
      </c>
      <c r="S182" s="13">
        <f ca="1">MIN(IF(AND(MONTH(A182)=5,'ÖNYP kalkulátor'!$IU$6="igen"),(M182+N182)*12/(1+IF('ÖNYP kalkulátor'!$C$16="nem",0,VLOOKUP(YEAR(A182),'ÖNYP kalkulátor'!$E$15:$J$75,4)))*0.2,0),R182)</f>
        <v>0</v>
      </c>
      <c r="T182" s="4">
        <f ca="1">(1+VLOOKUP(YEAR(A182),'ÖNYP kalkulátor'!$E$15:$F$75,2,FALSE)+VLOOKUP(YEAR(A182),'ÖNYP kalkulátor'!$E$15:$I$75,5,FALSE))^(1/12)-1</f>
        <v>4.0741237836483535E-3</v>
      </c>
      <c r="U182" s="8">
        <f t="shared" ca="1" si="27"/>
        <v>62550.539318278294</v>
      </c>
      <c r="V182" s="14">
        <f t="shared" ca="1" si="28"/>
        <v>15415677.405351952</v>
      </c>
      <c r="W182" s="8">
        <f t="shared" ca="1" si="29"/>
        <v>9878891.9811392203</v>
      </c>
    </row>
    <row r="183" spans="1:23" x14ac:dyDescent="0.2">
      <c r="A183" s="6">
        <f t="shared" ca="1" si="33"/>
        <v>51136</v>
      </c>
      <c r="B183" s="12">
        <f t="shared" ca="1" si="34"/>
        <v>1</v>
      </c>
      <c r="C183" s="7">
        <f ca="1">(YEAR(A183)-YEAR('ÖNYP kalkulátor'!$C$10))+(MONTH(CF!A183)-MONTH('ÖNYP kalkulátor'!$C$10)-1)/12</f>
        <v>58.583333333333336</v>
      </c>
      <c r="D183" s="4">
        <f ca="1">(1+VLOOKUP(YEAR(A183),'ÖNYP kalkulátor'!$E$15:$F$75,2,FALSE))^(1/12)-1</f>
        <v>2.4662697723036864E-3</v>
      </c>
      <c r="E183" s="4">
        <f t="shared" ca="1" si="37"/>
        <v>1.564314768706911</v>
      </c>
      <c r="F183" s="8">
        <f t="shared" ca="1" si="38"/>
        <v>15415677.405351952</v>
      </c>
      <c r="G183" s="8">
        <v>10000</v>
      </c>
      <c r="H183" s="8">
        <v>250000</v>
      </c>
      <c r="I183" s="8">
        <v>500000</v>
      </c>
      <c r="J183" s="8">
        <v>750000</v>
      </c>
      <c r="K183" s="8"/>
      <c r="L183" s="4">
        <f ca="1">+IF('ÖNYP kalkulátor'!$C$16="nem",0,
IF(MONTH(A183)=1,VLOOKUP(YEAR(A183),'ÖNYP kalkulátor'!$E$15:$J$75,4),0))</f>
        <v>0.03</v>
      </c>
      <c r="M183" s="8">
        <f t="shared" ca="1" si="35"/>
        <v>48141.193172963634</v>
      </c>
      <c r="N183" s="8">
        <f t="shared" ca="1" si="36"/>
        <v>16047.06439098788</v>
      </c>
      <c r="O183" s="8">
        <f t="shared" ca="1" si="30"/>
        <v>64188.257563951513</v>
      </c>
      <c r="P183" s="8">
        <f t="shared" ca="1" si="31"/>
        <v>59936.962110114422</v>
      </c>
      <c r="Q183" s="8">
        <f t="shared" ca="1" si="32"/>
        <v>59936.962110114422</v>
      </c>
      <c r="R183" s="13">
        <v>150000</v>
      </c>
      <c r="S183" s="13">
        <f ca="1">MIN(IF(AND(MONTH(A183)=5,'ÖNYP kalkulátor'!$IU$6="igen"),(M183+N183)*12/(1+IF('ÖNYP kalkulátor'!$C$16="nem",0,VLOOKUP(YEAR(A183),'ÖNYP kalkulátor'!$E$15:$J$75,4)))*0.2,0),R183)</f>
        <v>0</v>
      </c>
      <c r="T183" s="4">
        <f ca="1">(1+VLOOKUP(YEAR(A183),'ÖNYP kalkulátor'!$E$15:$F$75,2,FALSE)+VLOOKUP(YEAR(A183),'ÖNYP kalkulátor'!$E$15:$I$75,5,FALSE))^(1/12)-1</f>
        <v>4.0741237836483535E-3</v>
      </c>
      <c r="U183" s="8">
        <f t="shared" ca="1" si="27"/>
        <v>63049.568561047374</v>
      </c>
      <c r="V183" s="14">
        <f t="shared" ca="1" si="28"/>
        <v>15538663.936023114</v>
      </c>
      <c r="W183" s="8">
        <f t="shared" ca="1" si="29"/>
        <v>9933207.9750596713</v>
      </c>
    </row>
    <row r="184" spans="1:23" x14ac:dyDescent="0.2">
      <c r="A184" s="6">
        <f t="shared" ca="1" si="33"/>
        <v>51167</v>
      </c>
      <c r="B184" s="12">
        <f t="shared" ca="1" si="34"/>
        <v>2</v>
      </c>
      <c r="C184" s="7">
        <f ca="1">(YEAR(A184)-YEAR('ÖNYP kalkulátor'!$C$10))+(MONTH(CF!A184)-MONTH('ÖNYP kalkulátor'!$C$10)-1)/12</f>
        <v>58.666666666666664</v>
      </c>
      <c r="D184" s="4">
        <f ca="1">(1+VLOOKUP(YEAR(A184),'ÖNYP kalkulátor'!$E$15:$F$75,2,FALSE))^(1/12)-1</f>
        <v>2.4662697723036864E-3</v>
      </c>
      <c r="E184" s="4">
        <f t="shared" ca="1" si="37"/>
        <v>1.5681727909353411</v>
      </c>
      <c r="F184" s="8">
        <f t="shared" ca="1" si="38"/>
        <v>15538663.936023114</v>
      </c>
      <c r="G184" s="8">
        <v>10000</v>
      </c>
      <c r="H184" s="8">
        <v>250000</v>
      </c>
      <c r="I184" s="8">
        <v>500000</v>
      </c>
      <c r="J184" s="8">
        <v>750000</v>
      </c>
      <c r="K184" s="8"/>
      <c r="L184" s="4">
        <f ca="1">+IF('ÖNYP kalkulátor'!$C$16="nem",0,
IF(MONTH(A184)=1,VLOOKUP(YEAR(A184),'ÖNYP kalkulátor'!$E$15:$J$75,4),0))</f>
        <v>0</v>
      </c>
      <c r="M184" s="8">
        <f t="shared" ca="1" si="35"/>
        <v>48141.193172963634</v>
      </c>
      <c r="N184" s="8">
        <f t="shared" ca="1" si="36"/>
        <v>16047.06439098788</v>
      </c>
      <c r="O184" s="8">
        <f t="shared" ca="1" si="30"/>
        <v>128376.51512790303</v>
      </c>
      <c r="P184" s="8">
        <f t="shared" ca="1" si="31"/>
        <v>120273.92422022884</v>
      </c>
      <c r="Q184" s="8">
        <f t="shared" ca="1" si="32"/>
        <v>60336.962110114422</v>
      </c>
      <c r="R184" s="13">
        <v>150000</v>
      </c>
      <c r="S184" s="13">
        <f ca="1">MIN(IF(AND(MONTH(A184)=5,'ÖNYP kalkulátor'!$IU$6="igen"),(M184+N184)*12/(1+IF('ÖNYP kalkulátor'!$C$16="nem",0,VLOOKUP(YEAR(A184),'ÖNYP kalkulátor'!$E$15:$J$75,4)))*0.2,0),R184)</f>
        <v>0</v>
      </c>
      <c r="T184" s="4">
        <f ca="1">(1+VLOOKUP(YEAR(A184),'ÖNYP kalkulátor'!$E$15:$F$75,2,FALSE)+VLOOKUP(YEAR(A184),'ÖNYP kalkulátor'!$E$15:$I$75,5,FALSE))^(1/12)-1</f>
        <v>4.0741237836483535E-3</v>
      </c>
      <c r="U184" s="8">
        <f t="shared" ca="1" si="27"/>
        <v>63552.260560236617</v>
      </c>
      <c r="V184" s="14">
        <f t="shared" ca="1" si="28"/>
        <v>15662553.158693466</v>
      </c>
      <c r="W184" s="8">
        <f t="shared" ca="1" si="29"/>
        <v>9987772.5523802079</v>
      </c>
    </row>
    <row r="185" spans="1:23" x14ac:dyDescent="0.2">
      <c r="A185" s="6">
        <f t="shared" ca="1" si="33"/>
        <v>51196</v>
      </c>
      <c r="B185" s="12">
        <f t="shared" ca="1" si="34"/>
        <v>3</v>
      </c>
      <c r="C185" s="7">
        <f ca="1">(YEAR(A185)-YEAR('ÖNYP kalkulátor'!$C$10))+(MONTH(CF!A185)-MONTH('ÖNYP kalkulátor'!$C$10)-1)/12</f>
        <v>58.75</v>
      </c>
      <c r="D185" s="4">
        <f ca="1">(1+VLOOKUP(YEAR(A185),'ÖNYP kalkulátor'!$E$15:$F$75,2,FALSE))^(1/12)-1</f>
        <v>2.4662697723036864E-3</v>
      </c>
      <c r="E185" s="4">
        <f t="shared" ca="1" si="37"/>
        <v>1.572040328087374</v>
      </c>
      <c r="F185" s="8">
        <f t="shared" ca="1" si="38"/>
        <v>15662553.158693466</v>
      </c>
      <c r="G185" s="8">
        <v>10000</v>
      </c>
      <c r="H185" s="8">
        <v>250000</v>
      </c>
      <c r="I185" s="8">
        <v>500000</v>
      </c>
      <c r="J185" s="8">
        <v>750000</v>
      </c>
      <c r="K185" s="8"/>
      <c r="L185" s="4">
        <f ca="1">+IF('ÖNYP kalkulátor'!$C$16="nem",0,
IF(MONTH(A185)=1,VLOOKUP(YEAR(A185),'ÖNYP kalkulátor'!$E$15:$J$75,4),0))</f>
        <v>0</v>
      </c>
      <c r="M185" s="8">
        <f t="shared" ca="1" si="35"/>
        <v>48141.193172963634</v>
      </c>
      <c r="N185" s="8">
        <f t="shared" ca="1" si="36"/>
        <v>16047.06439098788</v>
      </c>
      <c r="O185" s="8">
        <f t="shared" ca="1" si="30"/>
        <v>192564.77269185454</v>
      </c>
      <c r="P185" s="8">
        <f t="shared" ca="1" si="31"/>
        <v>180610.88633034326</v>
      </c>
      <c r="Q185" s="8">
        <f t="shared" ca="1" si="32"/>
        <v>60336.962110114415</v>
      </c>
      <c r="R185" s="13">
        <v>150000</v>
      </c>
      <c r="S185" s="13">
        <f ca="1">MIN(IF(AND(MONTH(A185)=5,'ÖNYP kalkulátor'!$IU$6="igen"),(M185+N185)*12/(1+IF('ÖNYP kalkulátor'!$C$16="nem",0,VLOOKUP(YEAR(A185),'ÖNYP kalkulátor'!$E$15:$J$75,4)))*0.2,0),R185)</f>
        <v>0</v>
      </c>
      <c r="T185" s="4">
        <f ca="1">(1+VLOOKUP(YEAR(A185),'ÖNYP kalkulátor'!$E$15:$F$75,2,FALSE)+VLOOKUP(YEAR(A185),'ÖNYP kalkulátor'!$E$15:$I$75,5,FALSE))^(1/12)-1</f>
        <v>4.0741237836483535E-3</v>
      </c>
      <c r="U185" s="8">
        <f t="shared" ca="1" si="27"/>
        <v>64057.000588855604</v>
      </c>
      <c r="V185" s="14">
        <f t="shared" ca="1" si="28"/>
        <v>15786947.121392436</v>
      </c>
      <c r="W185" s="8">
        <f t="shared" ca="1" si="29"/>
        <v>10042329.601429282</v>
      </c>
    </row>
    <row r="186" spans="1:23" x14ac:dyDescent="0.2">
      <c r="A186" s="6">
        <f t="shared" ca="1" si="33"/>
        <v>51227</v>
      </c>
      <c r="B186" s="12">
        <f t="shared" ca="1" si="34"/>
        <v>4</v>
      </c>
      <c r="C186" s="7">
        <f ca="1">(YEAR(A186)-YEAR('ÖNYP kalkulátor'!$C$10))+(MONTH(CF!A186)-MONTH('ÖNYP kalkulátor'!$C$10)-1)/12</f>
        <v>58.833333333333336</v>
      </c>
      <c r="D186" s="4">
        <f ca="1">(1+VLOOKUP(YEAR(A186),'ÖNYP kalkulátor'!$E$15:$F$75,2,FALSE))^(1/12)-1</f>
        <v>2.4662697723036864E-3</v>
      </c>
      <c r="E186" s="4">
        <f t="shared" ca="1" si="37"/>
        <v>1.5759174036293784</v>
      </c>
      <c r="F186" s="8">
        <f t="shared" ca="1" si="38"/>
        <v>15786947.121392436</v>
      </c>
      <c r="G186" s="8">
        <v>10000</v>
      </c>
      <c r="H186" s="8">
        <v>250000</v>
      </c>
      <c r="I186" s="8">
        <v>500000</v>
      </c>
      <c r="J186" s="8">
        <v>750000</v>
      </c>
      <c r="K186" s="8"/>
      <c r="L186" s="4">
        <f ca="1">+IF('ÖNYP kalkulátor'!$C$16="nem",0,
IF(MONTH(A186)=1,VLOOKUP(YEAR(A186),'ÖNYP kalkulátor'!$E$15:$J$75,4),0))</f>
        <v>0</v>
      </c>
      <c r="M186" s="8">
        <f t="shared" ca="1" si="35"/>
        <v>48141.193172963634</v>
      </c>
      <c r="N186" s="8">
        <f t="shared" ca="1" si="36"/>
        <v>16047.06439098788</v>
      </c>
      <c r="O186" s="8">
        <f t="shared" ca="1" si="30"/>
        <v>256753.03025580605</v>
      </c>
      <c r="P186" s="8">
        <f t="shared" ca="1" si="31"/>
        <v>241015.37874301575</v>
      </c>
      <c r="Q186" s="8">
        <f t="shared" ca="1" si="32"/>
        <v>60404.492412672495</v>
      </c>
      <c r="R186" s="13">
        <v>150000</v>
      </c>
      <c r="S186" s="13">
        <f ca="1">MIN(IF(AND(MONTH(A186)=5,'ÖNYP kalkulátor'!$IU$6="igen"),(M186+N186)*12/(1+IF('ÖNYP kalkulátor'!$C$16="nem",0,VLOOKUP(YEAR(A186),'ÖNYP kalkulátor'!$E$15:$J$75,4)))*0.2,0),R186)</f>
        <v>0</v>
      </c>
      <c r="T186" s="4">
        <f ca="1">(1+VLOOKUP(YEAR(A186),'ÖNYP kalkulátor'!$E$15:$F$75,2,FALSE)+VLOOKUP(YEAR(A186),'ÖNYP kalkulátor'!$E$15:$I$75,5,FALSE))^(1/12)-1</f>
        <v>4.0741237836483535E-3</v>
      </c>
      <c r="U186" s="8">
        <f t="shared" ca="1" si="27"/>
        <v>64564.072117641517</v>
      </c>
      <c r="V186" s="14">
        <f t="shared" ca="1" si="28"/>
        <v>15911915.685922751</v>
      </c>
      <c r="W186" s="8">
        <f t="shared" ca="1" si="29"/>
        <v>10096922.369965075</v>
      </c>
    </row>
    <row r="187" spans="1:23" x14ac:dyDescent="0.2">
      <c r="A187" s="6">
        <f t="shared" ca="1" si="33"/>
        <v>51257</v>
      </c>
      <c r="B187" s="12">
        <f t="shared" ca="1" si="34"/>
        <v>5</v>
      </c>
      <c r="C187" s="7">
        <f ca="1">(YEAR(A187)-YEAR('ÖNYP kalkulátor'!$C$10))+(MONTH(CF!A187)-MONTH('ÖNYP kalkulátor'!$C$10)-1)/12</f>
        <v>58.916666666666664</v>
      </c>
      <c r="D187" s="4">
        <f ca="1">(1+VLOOKUP(YEAR(A187),'ÖNYP kalkulátor'!$E$15:$F$75,2,FALSE))^(1/12)-1</f>
        <v>2.4662697723036864E-3</v>
      </c>
      <c r="E187" s="4">
        <f t="shared" ca="1" si="37"/>
        <v>1.5798040410855969</v>
      </c>
      <c r="F187" s="8">
        <f t="shared" ca="1" si="38"/>
        <v>15911915.685922751</v>
      </c>
      <c r="G187" s="8">
        <v>10000</v>
      </c>
      <c r="H187" s="8">
        <v>250000</v>
      </c>
      <c r="I187" s="8">
        <v>500000</v>
      </c>
      <c r="J187" s="8">
        <v>750000</v>
      </c>
      <c r="K187" s="8"/>
      <c r="L187" s="4">
        <f ca="1">+IF('ÖNYP kalkulátor'!$C$16="nem",0,
IF(MONTH(A187)=1,VLOOKUP(YEAR(A187),'ÖNYP kalkulátor'!$E$15:$J$75,4),0))</f>
        <v>0</v>
      </c>
      <c r="M187" s="8">
        <f t="shared" ca="1" si="35"/>
        <v>48141.193172963634</v>
      </c>
      <c r="N187" s="8">
        <f t="shared" ca="1" si="36"/>
        <v>16047.06439098788</v>
      </c>
      <c r="O187" s="8">
        <f t="shared" ca="1" si="30"/>
        <v>320941.28781975753</v>
      </c>
      <c r="P187" s="8">
        <f t="shared" ca="1" si="31"/>
        <v>301994.22342876962</v>
      </c>
      <c r="Q187" s="8">
        <f t="shared" ca="1" si="32"/>
        <v>60978.844685753866</v>
      </c>
      <c r="R187" s="13">
        <v>150000</v>
      </c>
      <c r="S187" s="13">
        <f ca="1">MIN(IF(AND(MONTH(A187)=5,'ÖNYP kalkulátor'!$IU$6="igen"),(M187+N187)*12/(1+IF('ÖNYP kalkulátor'!$C$16="nem",0,VLOOKUP(YEAR(A187),'ÖNYP kalkulátor'!$E$15:$J$75,4)))*0.2,0),R187)</f>
        <v>149564.87199367344</v>
      </c>
      <c r="T187" s="4">
        <f ca="1">(1+VLOOKUP(YEAR(A187),'ÖNYP kalkulátor'!$E$15:$F$75,2,FALSE)+VLOOKUP(YEAR(A187),'ÖNYP kalkulátor'!$E$15:$I$75,5,FALSE))^(1/12)-1</f>
        <v>4.0741237836483535E-3</v>
      </c>
      <c r="U187" s="8">
        <f t="shared" ca="1" si="27"/>
        <v>65684.895303046564</v>
      </c>
      <c r="V187" s="14">
        <f t="shared" ca="1" si="28"/>
        <v>16188144.297905225</v>
      </c>
      <c r="W187" s="8">
        <f t="shared" ca="1" si="29"/>
        <v>10246931.819962423</v>
      </c>
    </row>
    <row r="188" spans="1:23" x14ac:dyDescent="0.2">
      <c r="A188" s="6">
        <f t="shared" ca="1" si="33"/>
        <v>51288</v>
      </c>
      <c r="B188" s="12">
        <f t="shared" ca="1" si="34"/>
        <v>6</v>
      </c>
      <c r="C188" s="7">
        <f ca="1">(YEAR(A188)-YEAR('ÖNYP kalkulátor'!$C$10))+(MONTH(CF!A188)-MONTH('ÖNYP kalkulátor'!$C$10)-1)/12</f>
        <v>59</v>
      </c>
      <c r="D188" s="4">
        <f ca="1">(1+VLOOKUP(YEAR(A188),'ÖNYP kalkulátor'!$E$15:$F$75,2,FALSE))^(1/12)-1</f>
        <v>2.4662697723036864E-3</v>
      </c>
      <c r="E188" s="4">
        <f t="shared" ca="1" si="37"/>
        <v>1.5837002640382896</v>
      </c>
      <c r="F188" s="8">
        <f t="shared" ca="1" si="38"/>
        <v>16188144.297905225</v>
      </c>
      <c r="G188" s="8">
        <v>10000</v>
      </c>
      <c r="H188" s="8">
        <v>250000</v>
      </c>
      <c r="I188" s="8">
        <v>500000</v>
      </c>
      <c r="J188" s="8">
        <v>750000</v>
      </c>
      <c r="K188" s="8"/>
      <c r="L188" s="4">
        <f ca="1">+IF('ÖNYP kalkulátor'!$C$16="nem",0,
IF(MONTH(A188)=1,VLOOKUP(YEAR(A188),'ÖNYP kalkulátor'!$E$15:$J$75,4),0))</f>
        <v>0</v>
      </c>
      <c r="M188" s="8">
        <f t="shared" ca="1" si="35"/>
        <v>48141.193172963634</v>
      </c>
      <c r="N188" s="8">
        <f t="shared" ca="1" si="36"/>
        <v>16047.06439098788</v>
      </c>
      <c r="O188" s="8">
        <f t="shared" ca="1" si="30"/>
        <v>385129.54538370902</v>
      </c>
      <c r="P188" s="8">
        <f t="shared" ca="1" si="31"/>
        <v>362973.06811452354</v>
      </c>
      <c r="Q188" s="8">
        <f t="shared" ca="1" si="32"/>
        <v>60978.844685753924</v>
      </c>
      <c r="R188" s="13">
        <v>150000</v>
      </c>
      <c r="S188" s="13">
        <f ca="1">MIN(IF(AND(MONTH(A188)=5,'ÖNYP kalkulátor'!$IU$6="igen"),(M188+N188)*12/(1+IF('ÖNYP kalkulátor'!$C$16="nem",0,VLOOKUP(YEAR(A188),'ÖNYP kalkulátor'!$E$15:$J$75,4)))*0.2,0),R188)</f>
        <v>0</v>
      </c>
      <c r="T188" s="4">
        <f ca="1">(1+VLOOKUP(YEAR(A188),'ÖNYP kalkulátor'!$E$15:$F$75,2,FALSE)+VLOOKUP(YEAR(A188),'ÖNYP kalkulátor'!$E$15:$I$75,5,FALSE))^(1/12)-1</f>
        <v>4.0741237836483535E-3</v>
      </c>
      <c r="U188" s="8">
        <f t="shared" ca="1" si="27"/>
        <v>66200.939058660777</v>
      </c>
      <c r="V188" s="14">
        <f t="shared" ca="1" si="28"/>
        <v>16315324.081649641</v>
      </c>
      <c r="W188" s="8">
        <f t="shared" ca="1" si="29"/>
        <v>10302027.758742092</v>
      </c>
    </row>
    <row r="189" spans="1:23" x14ac:dyDescent="0.2">
      <c r="A189" s="6">
        <f t="shared" ca="1" si="33"/>
        <v>51318</v>
      </c>
      <c r="B189" s="12">
        <f t="shared" ca="1" si="34"/>
        <v>7</v>
      </c>
      <c r="C189" s="7">
        <f ca="1">(YEAR(A189)-YEAR('ÖNYP kalkulátor'!$C$10))+(MONTH(CF!A189)-MONTH('ÖNYP kalkulátor'!$C$10)-1)/12</f>
        <v>59.083333333333336</v>
      </c>
      <c r="D189" s="4">
        <f ca="1">(1+VLOOKUP(YEAR(A189),'ÖNYP kalkulátor'!$E$15:$F$75,2,FALSE))^(1/12)-1</f>
        <v>2.4662697723036864E-3</v>
      </c>
      <c r="E189" s="4">
        <f t="shared" ca="1" si="37"/>
        <v>1.5876060961278766</v>
      </c>
      <c r="F189" s="8">
        <f t="shared" ca="1" si="38"/>
        <v>16315324.081649641</v>
      </c>
      <c r="G189" s="8">
        <v>10000</v>
      </c>
      <c r="H189" s="8">
        <v>250000</v>
      </c>
      <c r="I189" s="8">
        <v>500000</v>
      </c>
      <c r="J189" s="8">
        <v>750000</v>
      </c>
      <c r="K189" s="8"/>
      <c r="L189" s="4">
        <f ca="1">+IF('ÖNYP kalkulátor'!$C$16="nem",0,
IF(MONTH(A189)=1,VLOOKUP(YEAR(A189),'ÖNYP kalkulátor'!$E$15:$J$75,4),0))</f>
        <v>0</v>
      </c>
      <c r="M189" s="8">
        <f t="shared" ca="1" si="35"/>
        <v>48141.193172963634</v>
      </c>
      <c r="N189" s="8">
        <f t="shared" ca="1" si="36"/>
        <v>16047.06439098788</v>
      </c>
      <c r="O189" s="8">
        <f t="shared" ca="1" si="30"/>
        <v>449317.8029476605</v>
      </c>
      <c r="P189" s="8">
        <f t="shared" ca="1" si="31"/>
        <v>423951.91280027747</v>
      </c>
      <c r="Q189" s="8">
        <f t="shared" ca="1" si="32"/>
        <v>60978.844685753924</v>
      </c>
      <c r="R189" s="13">
        <v>150000</v>
      </c>
      <c r="S189" s="13">
        <f ca="1">MIN(IF(AND(MONTH(A189)=5,'ÖNYP kalkulátor'!$IU$6="igen"),(M189+N189)*12/(1+IF('ÖNYP kalkulátor'!$C$16="nem",0,VLOOKUP(YEAR(A189),'ÖNYP kalkulátor'!$E$15:$J$75,4)))*0.2,0),R189)</f>
        <v>0</v>
      </c>
      <c r="T189" s="4">
        <f ca="1">(1+VLOOKUP(YEAR(A189),'ÖNYP kalkulátor'!$E$15:$F$75,2,FALSE)+VLOOKUP(YEAR(A189),'ÖNYP kalkulátor'!$E$15:$I$75,5,FALSE))^(1/12)-1</f>
        <v>4.0741237836483535E-3</v>
      </c>
      <c r="U189" s="8">
        <f t="shared" ca="1" si="27"/>
        <v>66719.085240413158</v>
      </c>
      <c r="V189" s="14">
        <f t="shared" ca="1" si="28"/>
        <v>16443022.011575807</v>
      </c>
      <c r="W189" s="8">
        <f t="shared" ca="1" si="29"/>
        <v>10357116.952170845</v>
      </c>
    </row>
    <row r="190" spans="1:23" x14ac:dyDescent="0.2">
      <c r="A190" s="6">
        <f t="shared" ca="1" si="33"/>
        <v>51349</v>
      </c>
      <c r="B190" s="12">
        <f t="shared" ca="1" si="34"/>
        <v>8</v>
      </c>
      <c r="C190" s="7">
        <f ca="1">(YEAR(A190)-YEAR('ÖNYP kalkulátor'!$C$10))+(MONTH(CF!A190)-MONTH('ÖNYP kalkulátor'!$C$10)-1)/12</f>
        <v>59.166666666666664</v>
      </c>
      <c r="D190" s="4">
        <f ca="1">(1+VLOOKUP(YEAR(A190),'ÖNYP kalkulátor'!$E$15:$F$75,2,FALSE))^(1/12)-1</f>
        <v>2.4662697723036864E-3</v>
      </c>
      <c r="E190" s="4">
        <f t="shared" ca="1" si="37"/>
        <v>1.591521561053082</v>
      </c>
      <c r="F190" s="8">
        <f t="shared" ca="1" si="38"/>
        <v>16443022.011575807</v>
      </c>
      <c r="G190" s="8">
        <v>10000</v>
      </c>
      <c r="H190" s="8">
        <v>250000</v>
      </c>
      <c r="I190" s="8">
        <v>500000</v>
      </c>
      <c r="J190" s="8">
        <v>750000</v>
      </c>
      <c r="K190" s="8"/>
      <c r="L190" s="4">
        <f ca="1">+IF('ÖNYP kalkulátor'!$C$16="nem",0,
IF(MONTH(A190)=1,VLOOKUP(YEAR(A190),'ÖNYP kalkulátor'!$E$15:$J$75,4),0))</f>
        <v>0</v>
      </c>
      <c r="M190" s="8">
        <f t="shared" ca="1" si="35"/>
        <v>48141.193172963634</v>
      </c>
      <c r="N190" s="8">
        <f t="shared" ca="1" si="36"/>
        <v>16047.06439098788</v>
      </c>
      <c r="O190" s="8">
        <f t="shared" ca="1" si="30"/>
        <v>513506.06051161198</v>
      </c>
      <c r="P190" s="8">
        <f t="shared" ca="1" si="31"/>
        <v>485335.93930137972</v>
      </c>
      <c r="Q190" s="8">
        <f t="shared" ca="1" si="32"/>
        <v>61384.026501102257</v>
      </c>
      <c r="R190" s="13">
        <v>150000</v>
      </c>
      <c r="S190" s="13">
        <f ca="1">MIN(IF(AND(MONTH(A190)=5,'ÖNYP kalkulátor'!$IU$6="igen"),(M190+N190)*12/(1+IF('ÖNYP kalkulátor'!$C$16="nem",0,VLOOKUP(YEAR(A190),'ÖNYP kalkulátor'!$E$15:$J$75,4)))*0.2,0),R190)</f>
        <v>0</v>
      </c>
      <c r="T190" s="4">
        <f ca="1">(1+VLOOKUP(YEAR(A190),'ÖNYP kalkulátor'!$E$15:$F$75,2,FALSE)+VLOOKUP(YEAR(A190),'ÖNYP kalkulátor'!$E$15:$I$75,5,FALSE))^(1/12)-1</f>
        <v>4.0741237836483535E-3</v>
      </c>
      <c r="U190" s="8">
        <f t="shared" ca="1" si="27"/>
        <v>67240.993174718635</v>
      </c>
      <c r="V190" s="14">
        <f t="shared" ca="1" si="28"/>
        <v>16571647.031251628</v>
      </c>
      <c r="W190" s="8">
        <f t="shared" ca="1" si="29"/>
        <v>10412455.248351432</v>
      </c>
    </row>
    <row r="191" spans="1:23" x14ac:dyDescent="0.2">
      <c r="A191" s="6">
        <f t="shared" ca="1" si="33"/>
        <v>51380</v>
      </c>
      <c r="B191" s="12">
        <f t="shared" ca="1" si="34"/>
        <v>9</v>
      </c>
      <c r="C191" s="7">
        <f ca="1">(YEAR(A191)-YEAR('ÖNYP kalkulátor'!$C$10))+(MONTH(CF!A191)-MONTH('ÖNYP kalkulátor'!$C$10)-1)/12</f>
        <v>59.25</v>
      </c>
      <c r="D191" s="4">
        <f ca="1">(1+VLOOKUP(YEAR(A191),'ÖNYP kalkulátor'!$E$15:$F$75,2,FALSE))^(1/12)-1</f>
        <v>2.4662697723036864E-3</v>
      </c>
      <c r="E191" s="4">
        <f t="shared" ca="1" si="37"/>
        <v>1.5954466825710767</v>
      </c>
      <c r="F191" s="8">
        <f t="shared" ca="1" si="38"/>
        <v>16571647.031251628</v>
      </c>
      <c r="G191" s="8">
        <v>10000</v>
      </c>
      <c r="H191" s="8">
        <v>250000</v>
      </c>
      <c r="I191" s="8">
        <v>500000</v>
      </c>
      <c r="J191" s="8">
        <v>750000</v>
      </c>
      <c r="K191" s="8"/>
      <c r="L191" s="4">
        <f ca="1">+IF('ÖNYP kalkulátor'!$C$16="nem",0,
IF(MONTH(A191)=1,VLOOKUP(YEAR(A191),'ÖNYP kalkulátor'!$E$15:$J$75,4),0))</f>
        <v>0</v>
      </c>
      <c r="M191" s="8">
        <f t="shared" ca="1" si="35"/>
        <v>48141.193172963634</v>
      </c>
      <c r="N191" s="8">
        <f t="shared" ca="1" si="36"/>
        <v>16047.06439098788</v>
      </c>
      <c r="O191" s="8">
        <f t="shared" ca="1" si="30"/>
        <v>577694.31807556353</v>
      </c>
      <c r="P191" s="8">
        <f t="shared" ca="1" si="31"/>
        <v>548240.43171405222</v>
      </c>
      <c r="Q191" s="8">
        <f t="shared" ca="1" si="32"/>
        <v>62904.492412672495</v>
      </c>
      <c r="R191" s="13">
        <v>150000</v>
      </c>
      <c r="S191" s="13">
        <f ca="1">MIN(IF(AND(MONTH(A191)=5,'ÖNYP kalkulátor'!$IU$6="igen"),(M191+N191)*12/(1+IF('ÖNYP kalkulátor'!$C$16="nem",0,VLOOKUP(YEAR(A191),'ÖNYP kalkulátor'!$E$15:$J$75,4)))*0.2,0),R191)</f>
        <v>0</v>
      </c>
      <c r="T191" s="4">
        <f ca="1">(1+VLOOKUP(YEAR(A191),'ÖNYP kalkulátor'!$E$15:$F$75,2,FALSE)+VLOOKUP(YEAR(A191),'ÖNYP kalkulátor'!$E$15:$I$75,5,FALSE))^(1/12)-1</f>
        <v>4.0741237836483535E-3</v>
      </c>
      <c r="U191" s="8">
        <f t="shared" ca="1" si="27"/>
        <v>67771.22199288469</v>
      </c>
      <c r="V191" s="14">
        <f t="shared" ca="1" si="28"/>
        <v>16702322.745657185</v>
      </c>
      <c r="W191" s="8">
        <f t="shared" ca="1" si="29"/>
        <v>10468743.912357662</v>
      </c>
    </row>
    <row r="192" spans="1:23" x14ac:dyDescent="0.2">
      <c r="A192" s="6">
        <f t="shared" ca="1" si="33"/>
        <v>51410</v>
      </c>
      <c r="B192" s="12">
        <f t="shared" ca="1" si="34"/>
        <v>10</v>
      </c>
      <c r="C192" s="7">
        <f ca="1">(YEAR(A192)-YEAR('ÖNYP kalkulátor'!$C$10))+(MONTH(CF!A192)-MONTH('ÖNYP kalkulátor'!$C$10)-1)/12</f>
        <v>59.333333333333336</v>
      </c>
      <c r="D192" s="4">
        <f ca="1">(1+VLOOKUP(YEAR(A192),'ÖNYP kalkulátor'!$E$15:$F$75,2,FALSE))^(1/12)-1</f>
        <v>2.4662697723036864E-3</v>
      </c>
      <c r="E192" s="4">
        <f t="shared" ca="1" si="37"/>
        <v>1.599381484497624</v>
      </c>
      <c r="F192" s="8">
        <f t="shared" ca="1" si="38"/>
        <v>16702322.745657185</v>
      </c>
      <c r="G192" s="8">
        <v>10000</v>
      </c>
      <c r="H192" s="8">
        <v>250000</v>
      </c>
      <c r="I192" s="8">
        <v>500000</v>
      </c>
      <c r="J192" s="8">
        <v>750000</v>
      </c>
      <c r="K192" s="8"/>
      <c r="L192" s="4">
        <f ca="1">+IF('ÖNYP kalkulátor'!$C$16="nem",0,
IF(MONTH(A192)=1,VLOOKUP(YEAR(A192),'ÖNYP kalkulátor'!$E$15:$J$75,4),0))</f>
        <v>0</v>
      </c>
      <c r="M192" s="8">
        <f t="shared" ca="1" si="35"/>
        <v>48141.193172963634</v>
      </c>
      <c r="N192" s="8">
        <f t="shared" ca="1" si="36"/>
        <v>16047.06439098788</v>
      </c>
      <c r="O192" s="8">
        <f t="shared" ca="1" si="30"/>
        <v>641882.57563951507</v>
      </c>
      <c r="P192" s="8">
        <f t="shared" ca="1" si="31"/>
        <v>611144.92412672471</v>
      </c>
      <c r="Q192" s="8">
        <f t="shared" ca="1" si="32"/>
        <v>62904.492412672495</v>
      </c>
      <c r="R192" s="13">
        <v>150000</v>
      </c>
      <c r="S192" s="13">
        <f ca="1">MIN(IF(AND(MONTH(A192)=5,'ÖNYP kalkulátor'!$IU$6="igen"),(M192+N192)*12/(1+IF('ÖNYP kalkulátor'!$C$16="nem",0,VLOOKUP(YEAR(A192),'ÖNYP kalkulátor'!$E$15:$J$75,4)))*0.2,0),R192)</f>
        <v>0</v>
      </c>
      <c r="T192" s="4">
        <f ca="1">(1+VLOOKUP(YEAR(A192),'ÖNYP kalkulátor'!$E$15:$F$75,2,FALSE)+VLOOKUP(YEAR(A192),'ÖNYP kalkulátor'!$E$15:$I$75,5,FALSE))^(1/12)-1</f>
        <v>4.0741237836483535E-3</v>
      </c>
      <c r="U192" s="8">
        <f t="shared" ca="1" si="27"/>
        <v>68303.611028889602</v>
      </c>
      <c r="V192" s="14">
        <f t="shared" ca="1" si="28"/>
        <v>16833530.849098749</v>
      </c>
      <c r="W192" s="8">
        <f t="shared" ca="1" si="29"/>
        <v>10525025.462819003</v>
      </c>
    </row>
    <row r="193" spans="1:23" x14ac:dyDescent="0.2">
      <c r="A193" s="6">
        <f t="shared" ca="1" si="33"/>
        <v>51441</v>
      </c>
      <c r="B193" s="12">
        <f t="shared" ca="1" si="34"/>
        <v>11</v>
      </c>
      <c r="C193" s="7">
        <f ca="1">(YEAR(A193)-YEAR('ÖNYP kalkulátor'!$C$10))+(MONTH(CF!A193)-MONTH('ÖNYP kalkulátor'!$C$10)-1)/12</f>
        <v>59.416666666666664</v>
      </c>
      <c r="D193" s="4">
        <f ca="1">(1+VLOOKUP(YEAR(A193),'ÖNYP kalkulátor'!$E$15:$F$75,2,FALSE))^(1/12)-1</f>
        <v>2.4662697723036864E-3</v>
      </c>
      <c r="E193" s="4">
        <f t="shared" ca="1" si="37"/>
        <v>1.6033259907072226</v>
      </c>
      <c r="F193" s="8">
        <f t="shared" ca="1" si="38"/>
        <v>16833530.849098749</v>
      </c>
      <c r="G193" s="8">
        <v>10000</v>
      </c>
      <c r="H193" s="8">
        <v>250000</v>
      </c>
      <c r="I193" s="8">
        <v>500000</v>
      </c>
      <c r="J193" s="8">
        <v>750000</v>
      </c>
      <c r="K193" s="8"/>
      <c r="L193" s="4">
        <f ca="1">+IF('ÖNYP kalkulátor'!$C$16="nem",0,
IF(MONTH(A193)=1,VLOOKUP(YEAR(A193),'ÖNYP kalkulátor'!$E$15:$J$75,4),0))</f>
        <v>0</v>
      </c>
      <c r="M193" s="8">
        <f t="shared" ca="1" si="35"/>
        <v>48141.193172963634</v>
      </c>
      <c r="N193" s="8">
        <f t="shared" ca="1" si="36"/>
        <v>16047.06439098788</v>
      </c>
      <c r="O193" s="8">
        <f t="shared" ca="1" si="30"/>
        <v>706070.83320346661</v>
      </c>
      <c r="P193" s="8">
        <f t="shared" ca="1" si="31"/>
        <v>674049.41653939732</v>
      </c>
      <c r="Q193" s="8">
        <f t="shared" ca="1" si="32"/>
        <v>62904.492412672611</v>
      </c>
      <c r="R193" s="13">
        <v>150000</v>
      </c>
      <c r="S193" s="13">
        <f ca="1">MIN(IF(AND(MONTH(A193)=5,'ÖNYP kalkulátor'!$IU$6="igen"),(M193+N193)*12/(1+IF('ÖNYP kalkulátor'!$C$16="nem",0,VLOOKUP(YEAR(A193),'ÖNYP kalkulátor'!$E$15:$J$75,4)))*0.2,0),R193)</f>
        <v>0</v>
      </c>
      <c r="T193" s="4">
        <f ca="1">(1+VLOOKUP(YEAR(A193),'ÖNYP kalkulátor'!$E$15:$F$75,2,FALSE)+VLOOKUP(YEAR(A193),'ÖNYP kalkulátor'!$E$15:$I$75,5,FALSE))^(1/12)-1</f>
        <v>4.0741237836483535E-3</v>
      </c>
      <c r="U193" s="8">
        <f t="shared" ca="1" si="27"/>
        <v>68838.169083728266</v>
      </c>
      <c r="V193" s="14">
        <f t="shared" ca="1" si="28"/>
        <v>16965273.51059515</v>
      </c>
      <c r="W193" s="8">
        <f t="shared" ca="1" si="29"/>
        <v>10581300.127937062</v>
      </c>
    </row>
    <row r="194" spans="1:23" x14ac:dyDescent="0.2">
      <c r="A194" s="6">
        <f t="shared" ca="1" si="33"/>
        <v>51471</v>
      </c>
      <c r="B194" s="12">
        <f t="shared" ca="1" si="34"/>
        <v>12</v>
      </c>
      <c r="C194" s="7">
        <f ca="1">(YEAR(A194)-YEAR('ÖNYP kalkulátor'!$C$10))+(MONTH(CF!A194)-MONTH('ÖNYP kalkulátor'!$C$10)-1)/12</f>
        <v>59.5</v>
      </c>
      <c r="D194" s="4">
        <f ca="1">(1+VLOOKUP(YEAR(A194),'ÖNYP kalkulátor'!$E$15:$F$75,2,FALSE))^(1/12)-1</f>
        <v>2.4662697723036864E-3</v>
      </c>
      <c r="E194" s="4">
        <f t="shared" ca="1" si="37"/>
        <v>1.6072802251332527</v>
      </c>
      <c r="F194" s="8">
        <f t="shared" ca="1" si="38"/>
        <v>16965273.51059515</v>
      </c>
      <c r="G194" s="8">
        <v>10000</v>
      </c>
      <c r="H194" s="8">
        <v>250000</v>
      </c>
      <c r="I194" s="8">
        <v>500000</v>
      </c>
      <c r="J194" s="8">
        <v>750000</v>
      </c>
      <c r="K194" s="8"/>
      <c r="L194" s="4">
        <f ca="1">+IF('ÖNYP kalkulátor'!$C$16="nem",0,
IF(MONTH(A194)=1,VLOOKUP(YEAR(A194),'ÖNYP kalkulátor'!$E$15:$J$75,4),0))</f>
        <v>0</v>
      </c>
      <c r="M194" s="8">
        <f t="shared" ca="1" si="35"/>
        <v>48141.193172963634</v>
      </c>
      <c r="N194" s="8">
        <f t="shared" ca="1" si="36"/>
        <v>16047.06439098788</v>
      </c>
      <c r="O194" s="8">
        <f t="shared" ca="1" si="30"/>
        <v>770259.09076741815</v>
      </c>
      <c r="P194" s="8">
        <f t="shared" ca="1" si="31"/>
        <v>737257.79531358101</v>
      </c>
      <c r="Q194" s="8">
        <f t="shared" ca="1" si="32"/>
        <v>63208.378774183686</v>
      </c>
      <c r="R194" s="13">
        <v>150000</v>
      </c>
      <c r="S194" s="13">
        <f ca="1">MIN(IF(AND(MONTH(A194)=5,'ÖNYP kalkulátor'!$IU$6="igen"),(M194+N194)*12/(1+IF('ÖNYP kalkulátor'!$C$16="nem",0,VLOOKUP(YEAR(A194),'ÖNYP kalkulátor'!$E$15:$J$75,4)))*0.2,0),R194)</f>
        <v>0</v>
      </c>
      <c r="T194" s="4">
        <f ca="1">(1+VLOOKUP(YEAR(A194),'ÖNYP kalkulátor'!$E$15:$F$75,2,FALSE)+VLOOKUP(YEAR(A194),'ÖNYP kalkulátor'!$E$15:$I$75,5,FALSE))^(1/12)-1</f>
        <v>4.0741237836483535E-3</v>
      </c>
      <c r="U194" s="8">
        <f t="shared" ref="U194:U257" ca="1" si="39">+(F194+Q194+S194)*T194</f>
        <v>69376.143064904856</v>
      </c>
      <c r="V194" s="14">
        <f t="shared" ref="V194:V257" ca="1" si="40">+F194+Q194+S194+U194</f>
        <v>17097858.03243424</v>
      </c>
      <c r="W194" s="8">
        <f t="shared" ref="W194:W257" ca="1" si="41">+V194/E194</f>
        <v>10637757.974666011</v>
      </c>
    </row>
    <row r="195" spans="1:23" x14ac:dyDescent="0.2">
      <c r="A195" s="6">
        <f t="shared" ca="1" si="33"/>
        <v>51502</v>
      </c>
      <c r="B195" s="12">
        <f t="shared" ca="1" si="34"/>
        <v>1</v>
      </c>
      <c r="C195" s="7">
        <f ca="1">(YEAR(A195)-YEAR('ÖNYP kalkulátor'!$C$10))+(MONTH(CF!A195)-MONTH('ÖNYP kalkulátor'!$C$10)-1)/12</f>
        <v>59.583333333333336</v>
      </c>
      <c r="D195" s="4">
        <f ca="1">(1+VLOOKUP(YEAR(A195),'ÖNYP kalkulátor'!$E$15:$F$75,2,FALSE))^(1/12)-1</f>
        <v>2.4662697723036864E-3</v>
      </c>
      <c r="E195" s="4">
        <f t="shared" ca="1" si="37"/>
        <v>1.6112442117681203</v>
      </c>
      <c r="F195" s="8">
        <f t="shared" ca="1" si="38"/>
        <v>17097858.03243424</v>
      </c>
      <c r="G195" s="8">
        <v>10000</v>
      </c>
      <c r="H195" s="8">
        <v>250000</v>
      </c>
      <c r="I195" s="8">
        <v>500000</v>
      </c>
      <c r="J195" s="8">
        <v>750000</v>
      </c>
      <c r="K195" s="8"/>
      <c r="L195" s="4">
        <f ca="1">+IF('ÖNYP kalkulátor'!$C$16="nem",0,
IF(MONTH(A195)=1,VLOOKUP(YEAR(A195),'ÖNYP kalkulátor'!$E$15:$J$75,4),0))</f>
        <v>0.03</v>
      </c>
      <c r="M195" s="8">
        <f t="shared" ca="1" si="35"/>
        <v>49585.428968152548</v>
      </c>
      <c r="N195" s="8">
        <f t="shared" ca="1" si="36"/>
        <v>16528.476322717517</v>
      </c>
      <c r="O195" s="8">
        <f t="shared" ref="O195:O258" ca="1" si="42">IF(YEAR(A195)=YEAR(A194),O194+M195+N195,M195+N195)</f>
        <v>66113.905290870069</v>
      </c>
      <c r="P195" s="8">
        <f t="shared" ref="P195:P258" ca="1" si="43">IF(O195&lt;G195,O195*$G$1,0)
+IF(AND(O195&lt;H195,O195&gt;=G195),G195*$G$1+(O195-G195)*$H$1,0)
+IF(AND(O195&lt;I195,O195&gt;=H195),G195*$G$1+(H195-G195)*$H$1+(O195-H195)*$I$1,0)
+IF(AND(O195&lt;J195,O195&gt;=I195),G195*$G$1+(H195-G195)*$H$1+(I195-H195)*$I$1+(O195-I195)*$J$1,0)
+IF(AND(O195&gt;=J195),G195*$G$1+(H195-G195)*$H$1+(I195-H195)*$I$1+(J195-I195)*$J$1+(O195-J195)*$K$1,0)</f>
        <v>61747.07097341786</v>
      </c>
      <c r="Q195" s="8">
        <f t="shared" ref="Q195:Q258" ca="1" si="44">IF(YEAR(A195)=YEAR(A194),P195-P194,P195)</f>
        <v>61747.07097341786</v>
      </c>
      <c r="R195" s="13">
        <v>150000</v>
      </c>
      <c r="S195" s="13">
        <f ca="1">MIN(IF(AND(MONTH(A195)=5,'ÖNYP kalkulátor'!$IU$6="igen"),(M195+N195)*12/(1+IF('ÖNYP kalkulátor'!$C$16="nem",0,VLOOKUP(YEAR(A195),'ÖNYP kalkulátor'!$E$15:$J$75,4)))*0.2,0),R195)</f>
        <v>0</v>
      </c>
      <c r="T195" s="4">
        <f ca="1">(1+VLOOKUP(YEAR(A195),'ÖNYP kalkulátor'!$E$15:$F$75,2,FALSE)+VLOOKUP(YEAR(A195),'ÖNYP kalkulátor'!$E$15:$I$75,5,FALSE))^(1/12)-1</f>
        <v>4.0741237836483535E-3</v>
      </c>
      <c r="U195" s="8">
        <f t="shared" ca="1" si="39"/>
        <v>69910.355269806809</v>
      </c>
      <c r="V195" s="14">
        <f t="shared" ca="1" si="40"/>
        <v>17229515.458677467</v>
      </c>
      <c r="W195" s="8">
        <f t="shared" ca="1" si="41"/>
        <v>10693298.590516225</v>
      </c>
    </row>
    <row r="196" spans="1:23" x14ac:dyDescent="0.2">
      <c r="A196" s="6">
        <f t="shared" ref="A196:A259" ca="1" si="45">+DATE(YEAR(A195),MONTH(A195)+1,1)</f>
        <v>51533</v>
      </c>
      <c r="B196" s="12">
        <f t="shared" ref="B196:B259" ca="1" si="46">+IF(YEAR(A196)=YEAR(A195),B195+1,1)</f>
        <v>2</v>
      </c>
      <c r="C196" s="7">
        <f ca="1">(YEAR(A196)-YEAR('ÖNYP kalkulátor'!$C$10))+(MONTH(CF!A196)-MONTH('ÖNYP kalkulátor'!$C$10)-1)/12</f>
        <v>59.666666666666664</v>
      </c>
      <c r="D196" s="4">
        <f ca="1">(1+VLOOKUP(YEAR(A196),'ÖNYP kalkulátor'!$E$15:$F$75,2,FALSE))^(1/12)-1</f>
        <v>2.4662697723036864E-3</v>
      </c>
      <c r="E196" s="4">
        <f t="shared" ca="1" si="37"/>
        <v>1.6152179746634032</v>
      </c>
      <c r="F196" s="8">
        <f t="shared" ca="1" si="38"/>
        <v>17229515.458677467</v>
      </c>
      <c r="G196" s="8">
        <v>10000</v>
      </c>
      <c r="H196" s="8">
        <v>250000</v>
      </c>
      <c r="I196" s="8">
        <v>500000</v>
      </c>
      <c r="J196" s="8">
        <v>750000</v>
      </c>
      <c r="K196" s="8"/>
      <c r="L196" s="4">
        <f ca="1">+IF('ÖNYP kalkulátor'!$C$16="nem",0,
IF(MONTH(A196)=1,VLOOKUP(YEAR(A196),'ÖNYP kalkulátor'!$E$15:$J$75,4),0))</f>
        <v>0</v>
      </c>
      <c r="M196" s="8">
        <f t="shared" ref="M196:M259" ca="1" si="47">M195*(1+L196)</f>
        <v>49585.428968152548</v>
      </c>
      <c r="N196" s="8">
        <f t="shared" ref="N196:N259" ca="1" si="48">N195*(1+L196)</f>
        <v>16528.476322717517</v>
      </c>
      <c r="O196" s="8">
        <f t="shared" ca="1" si="42"/>
        <v>132227.81058174014</v>
      </c>
      <c r="P196" s="8">
        <f t="shared" ca="1" si="43"/>
        <v>123894.14194683572</v>
      </c>
      <c r="Q196" s="8">
        <f t="shared" ca="1" si="44"/>
        <v>62147.07097341786</v>
      </c>
      <c r="R196" s="13">
        <v>150000</v>
      </c>
      <c r="S196" s="13">
        <f ca="1">MIN(IF(AND(MONTH(A196)=5,'ÖNYP kalkulátor'!$IU$6="igen"),(M196+N196)*12/(1+IF('ÖNYP kalkulátor'!$C$16="nem",0,VLOOKUP(YEAR(A196),'ÖNYP kalkulátor'!$E$15:$J$75,4)))*0.2,0),R196)</f>
        <v>0</v>
      </c>
      <c r="T196" s="4">
        <f ca="1">(1+VLOOKUP(YEAR(A196),'ÖNYP kalkulátor'!$E$15:$F$75,2,FALSE)+VLOOKUP(YEAR(A196),'ÖNYP kalkulátor'!$E$15:$I$75,5,FALSE))^(1/12)-1</f>
        <v>4.0741237836483535E-3</v>
      </c>
      <c r="U196" s="8">
        <f t="shared" ca="1" si="39"/>
        <v>70448.373570871729</v>
      </c>
      <c r="V196" s="14">
        <f t="shared" ca="1" si="40"/>
        <v>17362110.903221756</v>
      </c>
      <c r="W196" s="8">
        <f t="shared" ca="1" si="41"/>
        <v>10749082.275932362</v>
      </c>
    </row>
    <row r="197" spans="1:23" x14ac:dyDescent="0.2">
      <c r="A197" s="6">
        <f t="shared" ca="1" si="45"/>
        <v>51561</v>
      </c>
      <c r="B197" s="12">
        <f t="shared" ca="1" si="46"/>
        <v>3</v>
      </c>
      <c r="C197" s="7">
        <f ca="1">(YEAR(A197)-YEAR('ÖNYP kalkulátor'!$C$10))+(MONTH(CF!A197)-MONTH('ÖNYP kalkulátor'!$C$10)-1)/12</f>
        <v>59.75</v>
      </c>
      <c r="D197" s="4">
        <f ca="1">(1+VLOOKUP(YEAR(A197),'ÖNYP kalkulátor'!$E$15:$F$75,2,FALSE))^(1/12)-1</f>
        <v>2.4662697723036864E-3</v>
      </c>
      <c r="E197" s="4">
        <f t="shared" ca="1" si="37"/>
        <v>1.6192015379299971</v>
      </c>
      <c r="F197" s="8">
        <f t="shared" ca="1" si="38"/>
        <v>17362110.903221756</v>
      </c>
      <c r="G197" s="8">
        <v>10000</v>
      </c>
      <c r="H197" s="8">
        <v>250000</v>
      </c>
      <c r="I197" s="8">
        <v>500000</v>
      </c>
      <c r="J197" s="8">
        <v>750000</v>
      </c>
      <c r="K197" s="8"/>
      <c r="L197" s="4">
        <f ca="1">+IF('ÖNYP kalkulátor'!$C$16="nem",0,
IF(MONTH(A197)=1,VLOOKUP(YEAR(A197),'ÖNYP kalkulátor'!$E$15:$J$75,4),0))</f>
        <v>0</v>
      </c>
      <c r="M197" s="8">
        <f t="shared" ca="1" si="47"/>
        <v>49585.428968152548</v>
      </c>
      <c r="N197" s="8">
        <f t="shared" ca="1" si="48"/>
        <v>16528.476322717517</v>
      </c>
      <c r="O197" s="8">
        <f t="shared" ca="1" si="42"/>
        <v>198341.71587261022</v>
      </c>
      <c r="P197" s="8">
        <f t="shared" ca="1" si="43"/>
        <v>186041.2129202536</v>
      </c>
      <c r="Q197" s="8">
        <f t="shared" ca="1" si="44"/>
        <v>62147.070973417882</v>
      </c>
      <c r="R197" s="13">
        <v>150000</v>
      </c>
      <c r="S197" s="13">
        <f ca="1">MIN(IF(AND(MONTH(A197)=5,'ÖNYP kalkulátor'!$IU$6="igen"),(M197+N197)*12/(1+IF('ÖNYP kalkulátor'!$C$16="nem",0,VLOOKUP(YEAR(A197),'ÖNYP kalkulátor'!$E$15:$J$75,4)))*0.2,0),R197)</f>
        <v>0</v>
      </c>
      <c r="T197" s="4">
        <f ca="1">(1+VLOOKUP(YEAR(A197),'ÖNYP kalkulátor'!$E$15:$F$75,2,FALSE)+VLOOKUP(YEAR(A197),'ÖNYP kalkulátor'!$E$15:$I$75,5,FALSE))^(1/12)-1</f>
        <v>4.0741237836483535E-3</v>
      </c>
      <c r="U197" s="8">
        <f t="shared" ca="1" si="39"/>
        <v>70988.583825093039</v>
      </c>
      <c r="V197" s="14">
        <f t="shared" ca="1" si="40"/>
        <v>17495246.558020268</v>
      </c>
      <c r="W197" s="8">
        <f t="shared" ca="1" si="41"/>
        <v>10804860.388402522</v>
      </c>
    </row>
    <row r="198" spans="1:23" x14ac:dyDescent="0.2">
      <c r="A198" s="6">
        <f t="shared" ca="1" si="45"/>
        <v>51592</v>
      </c>
      <c r="B198" s="12">
        <f t="shared" ca="1" si="46"/>
        <v>4</v>
      </c>
      <c r="C198" s="7">
        <f ca="1">(YEAR(A198)-YEAR('ÖNYP kalkulátor'!$C$10))+(MONTH(CF!A198)-MONTH('ÖNYP kalkulátor'!$C$10)-1)/12</f>
        <v>59.833333333333336</v>
      </c>
      <c r="D198" s="4">
        <f ca="1">(1+VLOOKUP(YEAR(A198),'ÖNYP kalkulátor'!$E$15:$F$75,2,FALSE))^(1/12)-1</f>
        <v>2.4662697723036864E-3</v>
      </c>
      <c r="E198" s="4">
        <f t="shared" ca="1" si="37"/>
        <v>1.6231949257382614</v>
      </c>
      <c r="F198" s="8">
        <f t="shared" ca="1" si="38"/>
        <v>17495246.558020268</v>
      </c>
      <c r="G198" s="8">
        <v>10000</v>
      </c>
      <c r="H198" s="8">
        <v>250000</v>
      </c>
      <c r="I198" s="8">
        <v>500000</v>
      </c>
      <c r="J198" s="8">
        <v>750000</v>
      </c>
      <c r="K198" s="8"/>
      <c r="L198" s="4">
        <f ca="1">+IF('ÖNYP kalkulátor'!$C$16="nem",0,
IF(MONTH(A198)=1,VLOOKUP(YEAR(A198),'ÖNYP kalkulátor'!$E$15:$J$75,4),0))</f>
        <v>0</v>
      </c>
      <c r="M198" s="8">
        <f t="shared" ca="1" si="47"/>
        <v>49585.428968152548</v>
      </c>
      <c r="N198" s="8">
        <f t="shared" ca="1" si="48"/>
        <v>16528.476322717517</v>
      </c>
      <c r="O198" s="8">
        <f t="shared" ca="1" si="42"/>
        <v>264455.62116348027</v>
      </c>
      <c r="P198" s="8">
        <f t="shared" ca="1" si="43"/>
        <v>248332.84010530627</v>
      </c>
      <c r="Q198" s="8">
        <f t="shared" ca="1" si="44"/>
        <v>62291.627185052668</v>
      </c>
      <c r="R198" s="13">
        <v>150000</v>
      </c>
      <c r="S198" s="13">
        <f ca="1">MIN(IF(AND(MONTH(A198)=5,'ÖNYP kalkulátor'!$IU$6="igen"),(M198+N198)*12/(1+IF('ÖNYP kalkulátor'!$C$16="nem",0,VLOOKUP(YEAR(A198),'ÖNYP kalkulátor'!$E$15:$J$75,4)))*0.2,0),R198)</f>
        <v>0</v>
      </c>
      <c r="T198" s="4">
        <f ca="1">(1+VLOOKUP(YEAR(A198),'ÖNYP kalkulátor'!$E$15:$F$75,2,FALSE)+VLOOKUP(YEAR(A198),'ÖNYP kalkulátor'!$E$15:$I$75,5,FALSE))^(1/12)-1</f>
        <v>4.0741237836483535E-3</v>
      </c>
      <c r="U198" s="8">
        <f t="shared" ca="1" si="39"/>
        <v>71531.583902659157</v>
      </c>
      <c r="V198" s="14">
        <f t="shared" ca="1" si="40"/>
        <v>17629069.769107983</v>
      </c>
      <c r="W198" s="8">
        <f t="shared" ca="1" si="41"/>
        <v>10860722.572238162</v>
      </c>
    </row>
    <row r="199" spans="1:23" x14ac:dyDescent="0.2">
      <c r="A199" s="6">
        <f t="shared" ca="1" si="45"/>
        <v>51622</v>
      </c>
      <c r="B199" s="12">
        <f t="shared" ca="1" si="46"/>
        <v>5</v>
      </c>
      <c r="C199" s="7">
        <f ca="1">(YEAR(A199)-YEAR('ÖNYP kalkulátor'!$C$10))+(MONTH(CF!A199)-MONTH('ÖNYP kalkulátor'!$C$10)-1)/12</f>
        <v>59.916666666666664</v>
      </c>
      <c r="D199" s="4">
        <f ca="1">(1+VLOOKUP(YEAR(A199),'ÖNYP kalkulátor'!$E$15:$F$75,2,FALSE))^(1/12)-1</f>
        <v>2.4662697723036864E-3</v>
      </c>
      <c r="E199" s="4">
        <f t="shared" ca="1" si="37"/>
        <v>1.6271981623181664</v>
      </c>
      <c r="F199" s="8">
        <f t="shared" ca="1" si="38"/>
        <v>17629069.769107983</v>
      </c>
      <c r="G199" s="8">
        <v>10000</v>
      </c>
      <c r="H199" s="8">
        <v>250000</v>
      </c>
      <c r="I199" s="8">
        <v>500000</v>
      </c>
      <c r="J199" s="8">
        <v>750000</v>
      </c>
      <c r="K199" s="8"/>
      <c r="L199" s="4">
        <f ca="1">+IF('ÖNYP kalkulátor'!$C$16="nem",0,
IF(MONTH(A199)=1,VLOOKUP(YEAR(A199),'ÖNYP kalkulátor'!$E$15:$J$75,4),0))</f>
        <v>0</v>
      </c>
      <c r="M199" s="8">
        <f t="shared" ca="1" si="47"/>
        <v>49585.428968152548</v>
      </c>
      <c r="N199" s="8">
        <f t="shared" ca="1" si="48"/>
        <v>16528.476322717517</v>
      </c>
      <c r="O199" s="8">
        <f t="shared" ca="1" si="42"/>
        <v>330569.52645435033</v>
      </c>
      <c r="P199" s="8">
        <f t="shared" ca="1" si="43"/>
        <v>311141.05013163283</v>
      </c>
      <c r="Q199" s="8">
        <f t="shared" ca="1" si="44"/>
        <v>62808.21002632656</v>
      </c>
      <c r="R199" s="13">
        <v>150000</v>
      </c>
      <c r="S199" s="13">
        <f ca="1">MIN(IF(AND(MONTH(A199)=5,'ÖNYP kalkulátor'!$IU$6="igen"),(M199+N199)*12/(1+IF('ÖNYP kalkulátor'!$C$16="nem",0,VLOOKUP(YEAR(A199),'ÖNYP kalkulátor'!$E$15:$J$75,4)))*0.2,0),R199)</f>
        <v>150000</v>
      </c>
      <c r="T199" s="4">
        <f ca="1">(1+VLOOKUP(YEAR(A199),'ÖNYP kalkulátor'!$E$15:$F$75,2,FALSE)+VLOOKUP(YEAR(A199),'ÖNYP kalkulátor'!$E$15:$I$75,5,FALSE))^(1/12)-1</f>
        <v>4.0741237836483535E-3</v>
      </c>
      <c r="U199" s="8">
        <f t="shared" ca="1" si="39"/>
        <v>72690.019419742908</v>
      </c>
      <c r="V199" s="14">
        <f t="shared" ca="1" si="40"/>
        <v>17914567.998554055</v>
      </c>
      <c r="W199" s="8">
        <f t="shared" ca="1" si="41"/>
        <v>11009456.877109732</v>
      </c>
    </row>
    <row r="200" spans="1:23" x14ac:dyDescent="0.2">
      <c r="A200" s="6">
        <f t="shared" ca="1" si="45"/>
        <v>51653</v>
      </c>
      <c r="B200" s="12">
        <f t="shared" ca="1" si="46"/>
        <v>6</v>
      </c>
      <c r="C200" s="7">
        <f ca="1">(YEAR(A200)-YEAR('ÖNYP kalkulátor'!$C$10))+(MONTH(CF!A200)-MONTH('ÖNYP kalkulátor'!$C$10)-1)/12</f>
        <v>60</v>
      </c>
      <c r="D200" s="4">
        <f ca="1">(1+VLOOKUP(YEAR(A200),'ÖNYP kalkulátor'!$E$15:$F$75,2,FALSE))^(1/12)-1</f>
        <v>2.4662697723036864E-3</v>
      </c>
      <c r="E200" s="4">
        <f t="shared" ca="1" si="37"/>
        <v>1.6312112719594398</v>
      </c>
      <c r="F200" s="8">
        <f t="shared" ca="1" si="38"/>
        <v>17914567.998554055</v>
      </c>
      <c r="G200" s="8">
        <v>10000</v>
      </c>
      <c r="H200" s="8">
        <v>250000</v>
      </c>
      <c r="I200" s="8">
        <v>500000</v>
      </c>
      <c r="J200" s="8">
        <v>750000</v>
      </c>
      <c r="K200" s="8"/>
      <c r="L200" s="4">
        <f ca="1">+IF('ÖNYP kalkulátor'!$C$16="nem",0,
IF(MONTH(A200)=1,VLOOKUP(YEAR(A200),'ÖNYP kalkulátor'!$E$15:$J$75,4),0))</f>
        <v>0</v>
      </c>
      <c r="M200" s="8">
        <f t="shared" ca="1" si="47"/>
        <v>49585.428968152548</v>
      </c>
      <c r="N200" s="8">
        <f t="shared" ca="1" si="48"/>
        <v>16528.476322717517</v>
      </c>
      <c r="O200" s="8">
        <f t="shared" ca="1" si="42"/>
        <v>396683.43174522038</v>
      </c>
      <c r="P200" s="8">
        <f t="shared" ca="1" si="43"/>
        <v>373949.26015795936</v>
      </c>
      <c r="Q200" s="8">
        <f t="shared" ca="1" si="44"/>
        <v>62808.210026326531</v>
      </c>
      <c r="R200" s="13">
        <v>150000</v>
      </c>
      <c r="S200" s="13">
        <f ca="1">MIN(IF(AND(MONTH(A200)=5,'ÖNYP kalkulátor'!$IU$6="igen"),(M200+N200)*12/(1+IF('ÖNYP kalkulátor'!$C$16="nem",0,VLOOKUP(YEAR(A200),'ÖNYP kalkulátor'!$E$15:$J$75,4)))*0.2,0),R200)</f>
        <v>0</v>
      </c>
      <c r="T200" s="4">
        <f ca="1">(1+VLOOKUP(YEAR(A200),'ÖNYP kalkulátor'!$E$15:$F$75,2,FALSE)+VLOOKUP(YEAR(A200),'ÖNYP kalkulátor'!$E$15:$I$75,5,FALSE))^(1/12)-1</f>
        <v>4.0741237836483535E-3</v>
      </c>
      <c r="U200" s="8">
        <f t="shared" ca="1" si="39"/>
        <v>73242.055978971403</v>
      </c>
      <c r="V200" s="14">
        <f t="shared" ca="1" si="40"/>
        <v>18050618.264559355</v>
      </c>
      <c r="W200" s="8">
        <f t="shared" ca="1" si="41"/>
        <v>11065775.828582052</v>
      </c>
    </row>
    <row r="201" spans="1:23" x14ac:dyDescent="0.2">
      <c r="A201" s="6">
        <f t="shared" ca="1" si="45"/>
        <v>51683</v>
      </c>
      <c r="B201" s="12">
        <f t="shared" ca="1" si="46"/>
        <v>7</v>
      </c>
      <c r="C201" s="7">
        <f ca="1">(YEAR(A201)-YEAR('ÖNYP kalkulátor'!$C$10))+(MONTH(CF!A201)-MONTH('ÖNYP kalkulátor'!$C$10)-1)/12</f>
        <v>60.083333333333336</v>
      </c>
      <c r="D201" s="4">
        <f ca="1">(1+VLOOKUP(YEAR(A201),'ÖNYP kalkulátor'!$E$15:$F$75,2,FALSE))^(1/12)-1</f>
        <v>2.4662697723036864E-3</v>
      </c>
      <c r="E201" s="4">
        <f t="shared" ca="1" si="37"/>
        <v>1.6352342790117145</v>
      </c>
      <c r="F201" s="8">
        <f t="shared" ca="1" si="38"/>
        <v>18050618.264559355</v>
      </c>
      <c r="G201" s="8">
        <v>10000</v>
      </c>
      <c r="H201" s="8">
        <v>250000</v>
      </c>
      <c r="I201" s="8">
        <v>500000</v>
      </c>
      <c r="J201" s="8">
        <v>750000</v>
      </c>
      <c r="K201" s="8"/>
      <c r="L201" s="4">
        <f ca="1">+IF('ÖNYP kalkulátor'!$C$16="nem",0,
IF(MONTH(A201)=1,VLOOKUP(YEAR(A201),'ÖNYP kalkulátor'!$E$15:$J$75,4),0))</f>
        <v>0</v>
      </c>
      <c r="M201" s="8">
        <f t="shared" ca="1" si="47"/>
        <v>49585.428968152548</v>
      </c>
      <c r="N201" s="8">
        <f t="shared" ca="1" si="48"/>
        <v>16528.476322717517</v>
      </c>
      <c r="O201" s="8">
        <f t="shared" ca="1" si="42"/>
        <v>462797.33703609044</v>
      </c>
      <c r="P201" s="8">
        <f t="shared" ca="1" si="43"/>
        <v>436757.47018428589</v>
      </c>
      <c r="Q201" s="8">
        <f t="shared" ca="1" si="44"/>
        <v>62808.210026326531</v>
      </c>
      <c r="R201" s="13">
        <v>150000</v>
      </c>
      <c r="S201" s="13">
        <f ca="1">MIN(IF(AND(MONTH(A201)=5,'ÖNYP kalkulátor'!$IU$6="igen"),(M201+N201)*12/(1+IF('ÖNYP kalkulátor'!$C$16="nem",0,VLOOKUP(YEAR(A201),'ÖNYP kalkulátor'!$E$15:$J$75,4)))*0.2,0),R201)</f>
        <v>0</v>
      </c>
      <c r="T201" s="4">
        <f ca="1">(1+VLOOKUP(YEAR(A201),'ÖNYP kalkulátor'!$E$15:$F$75,2,FALSE)+VLOOKUP(YEAR(A201),'ÖNYP kalkulátor'!$E$15:$I$75,5,FALSE))^(1/12)-1</f>
        <v>4.0741237836483535E-3</v>
      </c>
      <c r="U201" s="8">
        <f t="shared" ca="1" si="39"/>
        <v>73796.341603475274</v>
      </c>
      <c r="V201" s="14">
        <f t="shared" ca="1" si="40"/>
        <v>18187222.816189159</v>
      </c>
      <c r="W201" s="8">
        <f t="shared" ca="1" si="41"/>
        <v>11122089.996291516</v>
      </c>
    </row>
    <row r="202" spans="1:23" x14ac:dyDescent="0.2">
      <c r="A202" s="6">
        <f t="shared" ca="1" si="45"/>
        <v>51714</v>
      </c>
      <c r="B202" s="12">
        <f t="shared" ca="1" si="46"/>
        <v>8</v>
      </c>
      <c r="C202" s="7">
        <f ca="1">(YEAR(A202)-YEAR('ÖNYP kalkulátor'!$C$10))+(MONTH(CF!A202)-MONTH('ÖNYP kalkulátor'!$C$10)-1)/12</f>
        <v>60.166666666666664</v>
      </c>
      <c r="D202" s="4">
        <f ca="1">(1+VLOOKUP(YEAR(A202),'ÖNYP kalkulátor'!$E$15:$F$75,2,FALSE))^(1/12)-1</f>
        <v>2.4662697723036864E-3</v>
      </c>
      <c r="E202" s="4">
        <f t="shared" ca="1" si="37"/>
        <v>1.6392672078846759</v>
      </c>
      <c r="F202" s="8">
        <f t="shared" ca="1" si="38"/>
        <v>18187222.816189159</v>
      </c>
      <c r="G202" s="8">
        <v>10000</v>
      </c>
      <c r="H202" s="8">
        <v>250000</v>
      </c>
      <c r="I202" s="8">
        <v>500000</v>
      </c>
      <c r="J202" s="8">
        <v>750000</v>
      </c>
      <c r="K202" s="8"/>
      <c r="L202" s="4">
        <f ca="1">+IF('ÖNYP kalkulátor'!$C$16="nem",0,
IF(MONTH(A202)=1,VLOOKUP(YEAR(A202),'ÖNYP kalkulátor'!$E$15:$J$75,4),0))</f>
        <v>0</v>
      </c>
      <c r="M202" s="8">
        <f t="shared" ca="1" si="47"/>
        <v>49585.428968152548</v>
      </c>
      <c r="N202" s="8">
        <f t="shared" ca="1" si="48"/>
        <v>16528.476322717517</v>
      </c>
      <c r="O202" s="8">
        <f t="shared" ca="1" si="42"/>
        <v>528911.24232696055</v>
      </c>
      <c r="P202" s="8">
        <f t="shared" ca="1" si="43"/>
        <v>500433.01748042135</v>
      </c>
      <c r="Q202" s="8">
        <f t="shared" ca="1" si="44"/>
        <v>63675.547296135454</v>
      </c>
      <c r="R202" s="13">
        <v>150000</v>
      </c>
      <c r="S202" s="13">
        <f ca="1">MIN(IF(AND(MONTH(A202)=5,'ÖNYP kalkulátor'!$IU$6="igen"),(M202+N202)*12/(1+IF('ÖNYP kalkulátor'!$C$16="nem",0,VLOOKUP(YEAR(A202),'ÖNYP kalkulátor'!$E$15:$J$75,4)))*0.2,0),R202)</f>
        <v>0</v>
      </c>
      <c r="T202" s="4">
        <f ca="1">(1+VLOOKUP(YEAR(A202),'ÖNYP kalkulátor'!$E$15:$F$75,2,FALSE)+VLOOKUP(YEAR(A202),'ÖNYP kalkulátor'!$E$15:$I$75,5,FALSE))^(1/12)-1</f>
        <v>4.0741237836483535E-3</v>
      </c>
      <c r="U202" s="8">
        <f t="shared" ca="1" si="39"/>
        <v>74356.419095624253</v>
      </c>
      <c r="V202" s="14">
        <f t="shared" ca="1" si="40"/>
        <v>18325254.78258092</v>
      </c>
      <c r="W202" s="8">
        <f t="shared" ca="1" si="41"/>
        <v>11178930.862789588</v>
      </c>
    </row>
    <row r="203" spans="1:23" x14ac:dyDescent="0.2">
      <c r="A203" s="6">
        <f t="shared" ca="1" si="45"/>
        <v>51745</v>
      </c>
      <c r="B203" s="12">
        <f t="shared" ca="1" si="46"/>
        <v>9</v>
      </c>
      <c r="C203" s="7">
        <f ca="1">(YEAR(A203)-YEAR('ÖNYP kalkulátor'!$C$10))+(MONTH(CF!A203)-MONTH('ÖNYP kalkulátor'!$C$10)-1)/12</f>
        <v>60.25</v>
      </c>
      <c r="D203" s="4">
        <f ca="1">(1+VLOOKUP(YEAR(A203),'ÖNYP kalkulátor'!$E$15:$F$75,2,FALSE))^(1/12)-1</f>
        <v>2.4662697723036864E-3</v>
      </c>
      <c r="E203" s="4">
        <f t="shared" ca="1" si="37"/>
        <v>1.6433100830482106</v>
      </c>
      <c r="F203" s="8">
        <f t="shared" ca="1" si="38"/>
        <v>18325254.78258092</v>
      </c>
      <c r="G203" s="8">
        <v>10000</v>
      </c>
      <c r="H203" s="8">
        <v>250000</v>
      </c>
      <c r="I203" s="8">
        <v>500000</v>
      </c>
      <c r="J203" s="8">
        <v>750000</v>
      </c>
      <c r="K203" s="8"/>
      <c r="L203" s="4">
        <f ca="1">+IF('ÖNYP kalkulátor'!$C$16="nem",0,
IF(MONTH(A203)=1,VLOOKUP(YEAR(A203),'ÖNYP kalkulátor'!$E$15:$J$75,4),0))</f>
        <v>0</v>
      </c>
      <c r="M203" s="8">
        <f t="shared" ca="1" si="47"/>
        <v>49585.428968152548</v>
      </c>
      <c r="N203" s="8">
        <f t="shared" ca="1" si="48"/>
        <v>16528.476322717517</v>
      </c>
      <c r="O203" s="8">
        <f t="shared" ca="1" si="42"/>
        <v>595025.14761783055</v>
      </c>
      <c r="P203" s="8">
        <f t="shared" ca="1" si="43"/>
        <v>565224.64466547396</v>
      </c>
      <c r="Q203" s="8">
        <f t="shared" ca="1" si="44"/>
        <v>64791.62718505261</v>
      </c>
      <c r="R203" s="13">
        <v>150000</v>
      </c>
      <c r="S203" s="13">
        <f ca="1">MIN(IF(AND(MONTH(A203)=5,'ÖNYP kalkulátor'!$IU$6="igen"),(M203+N203)*12/(1+IF('ÖNYP kalkulátor'!$C$16="nem",0,VLOOKUP(YEAR(A203),'ÖNYP kalkulátor'!$E$15:$J$75,4)))*0.2,0),R203)</f>
        <v>0</v>
      </c>
      <c r="T203" s="4">
        <f ca="1">(1+VLOOKUP(YEAR(A203),'ÖNYP kalkulátor'!$E$15:$F$75,2,FALSE)+VLOOKUP(YEAR(A203),'ÖNYP kalkulátor'!$E$15:$I$75,5,FALSE))^(1/12)-1</f>
        <v>4.0741237836483535E-3</v>
      </c>
      <c r="U203" s="8">
        <f t="shared" ca="1" si="39"/>
        <v>74923.325460424574</v>
      </c>
      <c r="V203" s="14">
        <f t="shared" ca="1" si="40"/>
        <v>18464969.735226396</v>
      </c>
      <c r="W203" s="8">
        <f t="shared" ca="1" si="41"/>
        <v>11236448.875780847</v>
      </c>
    </row>
    <row r="204" spans="1:23" x14ac:dyDescent="0.2">
      <c r="A204" s="6">
        <f t="shared" ca="1" si="45"/>
        <v>51775</v>
      </c>
      <c r="B204" s="12">
        <f t="shared" ca="1" si="46"/>
        <v>10</v>
      </c>
      <c r="C204" s="7">
        <f ca="1">(YEAR(A204)-YEAR('ÖNYP kalkulátor'!$C$10))+(MONTH(CF!A204)-MONTH('ÖNYP kalkulátor'!$C$10)-1)/12</f>
        <v>60.333333333333336</v>
      </c>
      <c r="D204" s="4">
        <f ca="1">(1+VLOOKUP(YEAR(A204),'ÖNYP kalkulátor'!$E$15:$F$75,2,FALSE))^(1/12)-1</f>
        <v>2.4662697723036864E-3</v>
      </c>
      <c r="E204" s="4">
        <f t="shared" ca="1" si="37"/>
        <v>1.6473629290325542</v>
      </c>
      <c r="F204" s="8">
        <f t="shared" ca="1" si="38"/>
        <v>18464969.735226396</v>
      </c>
      <c r="G204" s="8">
        <v>10000</v>
      </c>
      <c r="H204" s="8">
        <v>250000</v>
      </c>
      <c r="I204" s="8">
        <v>500000</v>
      </c>
      <c r="J204" s="8">
        <v>750000</v>
      </c>
      <c r="K204" s="8"/>
      <c r="L204" s="4">
        <f ca="1">+IF('ÖNYP kalkulátor'!$C$16="nem",0,
IF(MONTH(A204)=1,VLOOKUP(YEAR(A204),'ÖNYP kalkulátor'!$E$15:$J$75,4),0))</f>
        <v>0</v>
      </c>
      <c r="M204" s="8">
        <f t="shared" ca="1" si="47"/>
        <v>49585.428968152548</v>
      </c>
      <c r="N204" s="8">
        <f t="shared" ca="1" si="48"/>
        <v>16528.476322717517</v>
      </c>
      <c r="O204" s="8">
        <f t="shared" ca="1" si="42"/>
        <v>661139.05290870054</v>
      </c>
      <c r="P204" s="8">
        <f t="shared" ca="1" si="43"/>
        <v>630016.27185052657</v>
      </c>
      <c r="Q204" s="8">
        <f t="shared" ca="1" si="44"/>
        <v>64791.62718505261</v>
      </c>
      <c r="R204" s="13">
        <v>150000</v>
      </c>
      <c r="S204" s="13">
        <f ca="1">MIN(IF(AND(MONTH(A204)=5,'ÖNYP kalkulátor'!$IU$6="igen"),(M204+N204)*12/(1+IF('ÖNYP kalkulátor'!$C$16="nem",0,VLOOKUP(YEAR(A204),'ÖNYP kalkulátor'!$E$15:$J$75,4)))*0.2,0),R204)</f>
        <v>0</v>
      </c>
      <c r="T204" s="4">
        <f ca="1">(1+VLOOKUP(YEAR(A204),'ÖNYP kalkulátor'!$E$15:$F$75,2,FALSE)+VLOOKUP(YEAR(A204),'ÖNYP kalkulátor'!$E$15:$I$75,5,FALSE))^(1/12)-1</f>
        <v>4.0741237836483535E-3</v>
      </c>
      <c r="U204" s="8">
        <f t="shared" ca="1" si="39"/>
        <v>75492.541471928809</v>
      </c>
      <c r="V204" s="14">
        <f t="shared" ca="1" si="40"/>
        <v>18605253.903883379</v>
      </c>
      <c r="W204" s="8">
        <f t="shared" ca="1" si="41"/>
        <v>11293961.746978048</v>
      </c>
    </row>
    <row r="205" spans="1:23" x14ac:dyDescent="0.2">
      <c r="A205" s="6">
        <f t="shared" ca="1" si="45"/>
        <v>51806</v>
      </c>
      <c r="B205" s="12">
        <f t="shared" ca="1" si="46"/>
        <v>11</v>
      </c>
      <c r="C205" s="7">
        <f ca="1">(YEAR(A205)-YEAR('ÖNYP kalkulátor'!$C$10))+(MONTH(CF!A205)-MONTH('ÖNYP kalkulátor'!$C$10)-1)/12</f>
        <v>60.416666666666664</v>
      </c>
      <c r="D205" s="4">
        <f ca="1">(1+VLOOKUP(YEAR(A205),'ÖNYP kalkulátor'!$E$15:$F$75,2,FALSE))^(1/12)-1</f>
        <v>2.4662697723036864E-3</v>
      </c>
      <c r="E205" s="4">
        <f t="shared" ca="1" si="37"/>
        <v>1.651425770428441</v>
      </c>
      <c r="F205" s="8">
        <f t="shared" ca="1" si="38"/>
        <v>18605253.903883379</v>
      </c>
      <c r="G205" s="8">
        <v>10000</v>
      </c>
      <c r="H205" s="8">
        <v>250000</v>
      </c>
      <c r="I205" s="8">
        <v>500000</v>
      </c>
      <c r="J205" s="8">
        <v>750000</v>
      </c>
      <c r="K205" s="8"/>
      <c r="L205" s="4">
        <f ca="1">+IF('ÖNYP kalkulátor'!$C$16="nem",0,
IF(MONTH(A205)=1,VLOOKUP(YEAR(A205),'ÖNYP kalkulátor'!$E$15:$J$75,4),0))</f>
        <v>0</v>
      </c>
      <c r="M205" s="8">
        <f t="shared" ca="1" si="47"/>
        <v>49585.428968152548</v>
      </c>
      <c r="N205" s="8">
        <f t="shared" ca="1" si="48"/>
        <v>16528.476322717517</v>
      </c>
      <c r="O205" s="8">
        <f t="shared" ca="1" si="42"/>
        <v>727252.95819957054</v>
      </c>
      <c r="P205" s="8">
        <f t="shared" ca="1" si="43"/>
        <v>694807.89903557906</v>
      </c>
      <c r="Q205" s="8">
        <f t="shared" ca="1" si="44"/>
        <v>64791.627185052494</v>
      </c>
      <c r="R205" s="13">
        <v>150000</v>
      </c>
      <c r="S205" s="13">
        <f ca="1">MIN(IF(AND(MONTH(A205)=5,'ÖNYP kalkulátor'!$IU$6="igen"),(M205+N205)*12/(1+IF('ÖNYP kalkulátor'!$C$16="nem",0,VLOOKUP(YEAR(A205),'ÖNYP kalkulátor'!$E$15:$J$75,4)))*0.2,0),R205)</f>
        <v>0</v>
      </c>
      <c r="T205" s="4">
        <f ca="1">(1+VLOOKUP(YEAR(A205),'ÖNYP kalkulátor'!$E$15:$F$75,2,FALSE)+VLOOKUP(YEAR(A205),'ÖNYP kalkulátor'!$E$15:$I$75,5,FALSE))^(1/12)-1</f>
        <v>4.0741237836483535E-3</v>
      </c>
      <c r="U205" s="8">
        <f t="shared" ca="1" si="39"/>
        <v>76064.076539923553</v>
      </c>
      <c r="V205" s="14">
        <f t="shared" ca="1" si="40"/>
        <v>18746109.607608356</v>
      </c>
      <c r="W205" s="8">
        <f t="shared" ca="1" si="41"/>
        <v>11351469.707745278</v>
      </c>
    </row>
    <row r="206" spans="1:23" x14ac:dyDescent="0.2">
      <c r="A206" s="6">
        <f t="shared" ca="1" si="45"/>
        <v>51836</v>
      </c>
      <c r="B206" s="12">
        <f t="shared" ca="1" si="46"/>
        <v>12</v>
      </c>
      <c r="C206" s="7">
        <f ca="1">(YEAR(A206)-YEAR('ÖNYP kalkulátor'!$C$10))+(MONTH(CF!A206)-MONTH('ÖNYP kalkulátor'!$C$10)-1)/12</f>
        <v>60.5</v>
      </c>
      <c r="D206" s="4">
        <f ca="1">(1+VLOOKUP(YEAR(A206),'ÖNYP kalkulátor'!$E$15:$F$75,2,FALSE))^(1/12)-1</f>
        <v>2.4662697723036864E-3</v>
      </c>
      <c r="E206" s="4">
        <f t="shared" ca="1" si="37"/>
        <v>1.655498631887252</v>
      </c>
      <c r="F206" s="8">
        <f t="shared" ca="1" si="38"/>
        <v>18746109.607608356</v>
      </c>
      <c r="G206" s="8">
        <v>10000</v>
      </c>
      <c r="H206" s="8">
        <v>250000</v>
      </c>
      <c r="I206" s="8">
        <v>500000</v>
      </c>
      <c r="J206" s="8">
        <v>750000</v>
      </c>
      <c r="K206" s="8"/>
      <c r="L206" s="4">
        <f ca="1">+IF('ÖNYP kalkulátor'!$C$16="nem",0,
IF(MONTH(A206)=1,VLOOKUP(YEAR(A206),'ÖNYP kalkulátor'!$E$15:$J$75,4),0))</f>
        <v>0</v>
      </c>
      <c r="M206" s="8">
        <f t="shared" ca="1" si="47"/>
        <v>49585.428968152548</v>
      </c>
      <c r="N206" s="8">
        <f t="shared" ca="1" si="48"/>
        <v>16528.476322717517</v>
      </c>
      <c r="O206" s="8">
        <f t="shared" ca="1" si="42"/>
        <v>793366.86349044053</v>
      </c>
      <c r="P206" s="8">
        <f t="shared" ca="1" si="43"/>
        <v>760250.02917298838</v>
      </c>
      <c r="Q206" s="8">
        <f t="shared" ca="1" si="44"/>
        <v>65442.130137409316</v>
      </c>
      <c r="R206" s="13">
        <v>150000</v>
      </c>
      <c r="S206" s="13">
        <f ca="1">MIN(IF(AND(MONTH(A206)=5,'ÖNYP kalkulátor'!$IU$6="igen"),(M206+N206)*12/(1+IF('ÖNYP kalkulátor'!$C$16="nem",0,VLOOKUP(YEAR(A206),'ÖNYP kalkulátor'!$E$15:$J$75,4)))*0.2,0),R206)</f>
        <v>0</v>
      </c>
      <c r="T206" s="4">
        <f ca="1">(1+VLOOKUP(YEAR(A206),'ÖNYP kalkulátor'!$E$15:$F$75,2,FALSE)+VLOOKUP(YEAR(A206),'ÖNYP kalkulátor'!$E$15:$I$75,5,FALSE))^(1/12)-1</f>
        <v>4.0741237836483535E-3</v>
      </c>
      <c r="U206" s="8">
        <f t="shared" ca="1" si="39"/>
        <v>76640.59034208153</v>
      </c>
      <c r="V206" s="14">
        <f t="shared" ca="1" si="40"/>
        <v>18888192.328087848</v>
      </c>
      <c r="W206" s="8">
        <f t="shared" ca="1" si="41"/>
        <v>11409367.524849897</v>
      </c>
    </row>
    <row r="207" spans="1:23" x14ac:dyDescent="0.2">
      <c r="A207" s="6">
        <f t="shared" ca="1" si="45"/>
        <v>51867</v>
      </c>
      <c r="B207" s="12">
        <f t="shared" ca="1" si="46"/>
        <v>1</v>
      </c>
      <c r="C207" s="7">
        <f ca="1">(YEAR(A207)-YEAR('ÖNYP kalkulátor'!$C$10))+(MONTH(CF!A207)-MONTH('ÖNYP kalkulátor'!$C$10)-1)/12</f>
        <v>60.583333333333336</v>
      </c>
      <c r="D207" s="4">
        <f ca="1">(1+VLOOKUP(YEAR(A207),'ÖNYP kalkulátor'!$E$15:$F$75,2,FALSE))^(1/12)-1</f>
        <v>2.4662697723036864E-3</v>
      </c>
      <c r="E207" s="4">
        <f t="shared" ca="1" si="37"/>
        <v>1.6595815381211656</v>
      </c>
      <c r="F207" s="8">
        <f t="shared" ca="1" si="38"/>
        <v>18888192.328087848</v>
      </c>
      <c r="G207" s="8">
        <v>10000</v>
      </c>
      <c r="H207" s="8">
        <v>250000</v>
      </c>
      <c r="I207" s="8">
        <v>500000</v>
      </c>
      <c r="J207" s="8">
        <v>750000</v>
      </c>
      <c r="K207" s="8"/>
      <c r="L207" s="4">
        <f ca="1">+IF('ÖNYP kalkulátor'!$C$16="nem",0,
IF(MONTH(A207)=1,VLOOKUP(YEAR(A207),'ÖNYP kalkulátor'!$E$15:$J$75,4),0))</f>
        <v>0.03</v>
      </c>
      <c r="M207" s="8">
        <f t="shared" ca="1" si="47"/>
        <v>51072.991837197129</v>
      </c>
      <c r="N207" s="8">
        <f t="shared" ca="1" si="48"/>
        <v>17024.330612399044</v>
      </c>
      <c r="O207" s="8">
        <f t="shared" ca="1" si="42"/>
        <v>68097.322449596177</v>
      </c>
      <c r="P207" s="8">
        <f t="shared" ca="1" si="43"/>
        <v>63611.483102620405</v>
      </c>
      <c r="Q207" s="8">
        <f t="shared" ca="1" si="44"/>
        <v>63611.483102620405</v>
      </c>
      <c r="R207" s="13">
        <v>150000</v>
      </c>
      <c r="S207" s="13">
        <f ca="1">MIN(IF(AND(MONTH(A207)=5,'ÖNYP kalkulátor'!$IU$6="igen"),(M207+N207)*12/(1+IF('ÖNYP kalkulátor'!$C$16="nem",0,VLOOKUP(YEAR(A207),'ÖNYP kalkulátor'!$E$15:$J$75,4)))*0.2,0),R207)</f>
        <v>0</v>
      </c>
      <c r="T207" s="4">
        <f ca="1">(1+VLOOKUP(YEAR(A207),'ÖNYP kalkulátor'!$E$15:$F$75,2,FALSE)+VLOOKUP(YEAR(A207),'ÖNYP kalkulátor'!$E$15:$I$75,5,FALSE))^(1/12)-1</f>
        <v>4.0741237836483535E-3</v>
      </c>
      <c r="U207" s="8">
        <f t="shared" ca="1" si="39"/>
        <v>77211.994650208595</v>
      </c>
      <c r="V207" s="14">
        <f t="shared" ca="1" si="40"/>
        <v>19029015.805840675</v>
      </c>
      <c r="W207" s="8">
        <f t="shared" ca="1" si="41"/>
        <v>11466152.98419364</v>
      </c>
    </row>
    <row r="208" spans="1:23" x14ac:dyDescent="0.2">
      <c r="A208" s="6">
        <f t="shared" ca="1" si="45"/>
        <v>51898</v>
      </c>
      <c r="B208" s="12">
        <f t="shared" ca="1" si="46"/>
        <v>2</v>
      </c>
      <c r="C208" s="7">
        <f ca="1">(YEAR(A208)-YEAR('ÖNYP kalkulátor'!$C$10))+(MONTH(CF!A208)-MONTH('ÖNYP kalkulátor'!$C$10)-1)/12</f>
        <v>60.666666666666664</v>
      </c>
      <c r="D208" s="4">
        <f ca="1">(1+VLOOKUP(YEAR(A208),'ÖNYP kalkulátor'!$E$15:$F$75,2,FALSE))^(1/12)-1</f>
        <v>2.4662697723036864E-3</v>
      </c>
      <c r="E208" s="4">
        <f t="shared" ca="1" si="37"/>
        <v>1.6636745139033071</v>
      </c>
      <c r="F208" s="8">
        <f t="shared" ca="1" si="38"/>
        <v>19029015.805840675</v>
      </c>
      <c r="G208" s="8">
        <v>10000</v>
      </c>
      <c r="H208" s="8">
        <v>250000</v>
      </c>
      <c r="I208" s="8">
        <v>500000</v>
      </c>
      <c r="J208" s="8">
        <v>750000</v>
      </c>
      <c r="K208" s="8"/>
      <c r="L208" s="4">
        <f ca="1">+IF('ÖNYP kalkulátor'!$C$16="nem",0,
IF(MONTH(A208)=1,VLOOKUP(YEAR(A208),'ÖNYP kalkulátor'!$E$15:$J$75,4),0))</f>
        <v>0</v>
      </c>
      <c r="M208" s="8">
        <f t="shared" ca="1" si="47"/>
        <v>51072.991837197129</v>
      </c>
      <c r="N208" s="8">
        <f t="shared" ca="1" si="48"/>
        <v>17024.330612399044</v>
      </c>
      <c r="O208" s="8">
        <f t="shared" ca="1" si="42"/>
        <v>136194.64489919235</v>
      </c>
      <c r="P208" s="8">
        <f t="shared" ca="1" si="43"/>
        <v>127622.96620524081</v>
      </c>
      <c r="Q208" s="8">
        <f t="shared" ca="1" si="44"/>
        <v>64011.483102620405</v>
      </c>
      <c r="R208" s="13">
        <v>150000</v>
      </c>
      <c r="S208" s="13">
        <f ca="1">MIN(IF(AND(MONTH(A208)=5,'ÖNYP kalkulátor'!$IU$6="igen"),(M208+N208)*12/(1+IF('ÖNYP kalkulátor'!$C$16="nem",0,VLOOKUP(YEAR(A208),'ÖNYP kalkulátor'!$E$15:$J$75,4)))*0.2,0),R208)</f>
        <v>0</v>
      </c>
      <c r="T208" s="4">
        <f ca="1">(1+VLOOKUP(YEAR(A208),'ÖNYP kalkulátor'!$E$15:$F$75,2,FALSE)+VLOOKUP(YEAR(A208),'ÖNYP kalkulátor'!$E$15:$I$75,5,FALSE))^(1/12)-1</f>
        <v>4.0741237836483535E-3</v>
      </c>
      <c r="U208" s="8">
        <f t="shared" ca="1" si="39"/>
        <v>77787.356579730913</v>
      </c>
      <c r="V208" s="14">
        <f t="shared" ca="1" si="40"/>
        <v>19170814.645523027</v>
      </c>
      <c r="W208" s="8">
        <f t="shared" ca="1" si="41"/>
        <v>11523176.249508403</v>
      </c>
    </row>
    <row r="209" spans="1:23" x14ac:dyDescent="0.2">
      <c r="A209" s="6">
        <f t="shared" ca="1" si="45"/>
        <v>51926</v>
      </c>
      <c r="B209" s="12">
        <f t="shared" ca="1" si="46"/>
        <v>3</v>
      </c>
      <c r="C209" s="7">
        <f ca="1">(YEAR(A209)-YEAR('ÖNYP kalkulátor'!$C$10))+(MONTH(CF!A209)-MONTH('ÖNYP kalkulátor'!$C$10)-1)/12</f>
        <v>60.75</v>
      </c>
      <c r="D209" s="4">
        <f ca="1">(1+VLOOKUP(YEAR(A209),'ÖNYP kalkulátor'!$E$15:$F$75,2,FALSE))^(1/12)-1</f>
        <v>2.4662697723036864E-3</v>
      </c>
      <c r="E209" s="4">
        <f t="shared" ca="1" si="37"/>
        <v>1.6677775840678988</v>
      </c>
      <c r="F209" s="8">
        <f t="shared" ca="1" si="38"/>
        <v>19170814.645523027</v>
      </c>
      <c r="G209" s="8">
        <v>10000</v>
      </c>
      <c r="H209" s="8">
        <v>250000</v>
      </c>
      <c r="I209" s="8">
        <v>500000</v>
      </c>
      <c r="J209" s="8">
        <v>750000</v>
      </c>
      <c r="K209" s="8"/>
      <c r="L209" s="4">
        <f ca="1">+IF('ÖNYP kalkulátor'!$C$16="nem",0,
IF(MONTH(A209)=1,VLOOKUP(YEAR(A209),'ÖNYP kalkulátor'!$E$15:$J$75,4),0))</f>
        <v>0</v>
      </c>
      <c r="M209" s="8">
        <f t="shared" ca="1" si="47"/>
        <v>51072.991837197129</v>
      </c>
      <c r="N209" s="8">
        <f t="shared" ca="1" si="48"/>
        <v>17024.330612399044</v>
      </c>
      <c r="O209" s="8">
        <f t="shared" ca="1" si="42"/>
        <v>204291.96734878852</v>
      </c>
      <c r="P209" s="8">
        <f t="shared" ca="1" si="43"/>
        <v>191634.44930786118</v>
      </c>
      <c r="Q209" s="8">
        <f t="shared" ca="1" si="44"/>
        <v>64011.483102620376</v>
      </c>
      <c r="R209" s="13">
        <v>150000</v>
      </c>
      <c r="S209" s="13">
        <f ca="1">MIN(IF(AND(MONTH(A209)=5,'ÖNYP kalkulátor'!$IU$6="igen"),(M209+N209)*12/(1+IF('ÖNYP kalkulátor'!$C$16="nem",0,VLOOKUP(YEAR(A209),'ÖNYP kalkulátor'!$E$15:$J$75,4)))*0.2,0),R209)</f>
        <v>0</v>
      </c>
      <c r="T209" s="4">
        <f ca="1">(1+VLOOKUP(YEAR(A209),'ÖNYP kalkulátor'!$E$15:$F$75,2,FALSE)+VLOOKUP(YEAR(A209),'ÖNYP kalkulátor'!$E$15:$I$75,5,FALSE))^(1/12)-1</f>
        <v>4.0741237836483535E-3</v>
      </c>
      <c r="U209" s="8">
        <f t="shared" ca="1" si="39"/>
        <v>78365.062604974533</v>
      </c>
      <c r="V209" s="14">
        <f t="shared" ca="1" si="40"/>
        <v>19313191.191230621</v>
      </c>
      <c r="W209" s="8">
        <f t="shared" ca="1" si="41"/>
        <v>11580195.930037359</v>
      </c>
    </row>
    <row r="210" spans="1:23" x14ac:dyDescent="0.2">
      <c r="A210" s="6">
        <f t="shared" ca="1" si="45"/>
        <v>51957</v>
      </c>
      <c r="B210" s="12">
        <f t="shared" ca="1" si="46"/>
        <v>4</v>
      </c>
      <c r="C210" s="7">
        <f ca="1">(YEAR(A210)-YEAR('ÖNYP kalkulátor'!$C$10))+(MONTH(CF!A210)-MONTH('ÖNYP kalkulátor'!$C$10)-1)/12</f>
        <v>60.833333333333336</v>
      </c>
      <c r="D210" s="4">
        <f ca="1">(1+VLOOKUP(YEAR(A210),'ÖNYP kalkulátor'!$E$15:$F$75,2,FALSE))^(1/12)-1</f>
        <v>2.4662697723036864E-3</v>
      </c>
      <c r="E210" s="4">
        <f t="shared" ca="1" si="37"/>
        <v>1.6718907735104112</v>
      </c>
      <c r="F210" s="8">
        <f t="shared" ca="1" si="38"/>
        <v>19313191.191230621</v>
      </c>
      <c r="G210" s="8">
        <v>10000</v>
      </c>
      <c r="H210" s="8">
        <v>250000</v>
      </c>
      <c r="I210" s="8">
        <v>500000</v>
      </c>
      <c r="J210" s="8">
        <v>750000</v>
      </c>
      <c r="K210" s="8"/>
      <c r="L210" s="4">
        <f ca="1">+IF('ÖNYP kalkulátor'!$C$16="nem",0,
IF(MONTH(A210)=1,VLOOKUP(YEAR(A210),'ÖNYP kalkulátor'!$E$15:$J$75,4),0))</f>
        <v>0</v>
      </c>
      <c r="M210" s="8">
        <f t="shared" ca="1" si="47"/>
        <v>51072.991837197129</v>
      </c>
      <c r="N210" s="8">
        <f t="shared" ca="1" si="48"/>
        <v>17024.330612399044</v>
      </c>
      <c r="O210" s="8">
        <f t="shared" ca="1" si="42"/>
        <v>272389.28979838471</v>
      </c>
      <c r="P210" s="8">
        <f t="shared" ca="1" si="43"/>
        <v>255869.82530846546</v>
      </c>
      <c r="Q210" s="8">
        <f t="shared" ca="1" si="44"/>
        <v>64235.376000604272</v>
      </c>
      <c r="R210" s="13">
        <v>150000</v>
      </c>
      <c r="S210" s="13">
        <f ca="1">MIN(IF(AND(MONTH(A210)=5,'ÖNYP kalkulátor'!$IU$6="igen"),(M210+N210)*12/(1+IF('ÖNYP kalkulátor'!$C$16="nem",0,VLOOKUP(YEAR(A210),'ÖNYP kalkulátor'!$E$15:$J$75,4)))*0.2,0),R210)</f>
        <v>0</v>
      </c>
      <c r="T210" s="4">
        <f ca="1">(1+VLOOKUP(YEAR(A210),'ÖNYP kalkulátor'!$E$15:$F$75,2,FALSE)+VLOOKUP(YEAR(A210),'ÖNYP kalkulátor'!$E$15:$I$75,5,FALSE))^(1/12)-1</f>
        <v>4.0741237836483535E-3</v>
      </c>
      <c r="U210" s="8">
        <f t="shared" ca="1" si="39"/>
        <v>78946.034443456214</v>
      </c>
      <c r="V210" s="14">
        <f t="shared" ca="1" si="40"/>
        <v>19456372.601674683</v>
      </c>
      <c r="W210" s="8">
        <f t="shared" ca="1" si="41"/>
        <v>11637346.715433337</v>
      </c>
    </row>
    <row r="211" spans="1:23" x14ac:dyDescent="0.2">
      <c r="A211" s="6">
        <f t="shared" ca="1" si="45"/>
        <v>51987</v>
      </c>
      <c r="B211" s="12">
        <f t="shared" ca="1" si="46"/>
        <v>5</v>
      </c>
      <c r="C211" s="7">
        <f ca="1">(YEAR(A211)-YEAR('ÖNYP kalkulátor'!$C$10))+(MONTH(CF!A211)-MONTH('ÖNYP kalkulátor'!$C$10)-1)/12</f>
        <v>60.916666666666664</v>
      </c>
      <c r="D211" s="4">
        <f ca="1">(1+VLOOKUP(YEAR(A211),'ÖNYP kalkulátor'!$E$15:$F$75,2,FALSE))^(1/12)-1</f>
        <v>2.4662697723036864E-3</v>
      </c>
      <c r="E211" s="4">
        <f t="shared" ca="1" si="37"/>
        <v>1.6760141071877133</v>
      </c>
      <c r="F211" s="8">
        <f t="shared" ca="1" si="38"/>
        <v>19456372.601674683</v>
      </c>
      <c r="G211" s="8">
        <v>10000</v>
      </c>
      <c r="H211" s="8">
        <v>250000</v>
      </c>
      <c r="I211" s="8">
        <v>500000</v>
      </c>
      <c r="J211" s="8">
        <v>750000</v>
      </c>
      <c r="K211" s="8"/>
      <c r="L211" s="4">
        <f ca="1">+IF('ÖNYP kalkulátor'!$C$16="nem",0,
IF(MONTH(A211)=1,VLOOKUP(YEAR(A211),'ÖNYP kalkulátor'!$E$15:$J$75,4),0))</f>
        <v>0</v>
      </c>
      <c r="M211" s="8">
        <f t="shared" ca="1" si="47"/>
        <v>51072.991837197129</v>
      </c>
      <c r="N211" s="8">
        <f t="shared" ca="1" si="48"/>
        <v>17024.330612399044</v>
      </c>
      <c r="O211" s="8">
        <f t="shared" ca="1" si="42"/>
        <v>340486.6122479809</v>
      </c>
      <c r="P211" s="8">
        <f t="shared" ca="1" si="43"/>
        <v>320562.28163558186</v>
      </c>
      <c r="Q211" s="8">
        <f t="shared" ca="1" si="44"/>
        <v>64692.456327116408</v>
      </c>
      <c r="R211" s="13">
        <v>150000</v>
      </c>
      <c r="S211" s="13">
        <f ca="1">MIN(IF(AND(MONTH(A211)=5,'ÖNYP kalkulátor'!$IU$6="igen"),(M211+N211)*12/(1+IF('ÖNYP kalkulátor'!$C$16="nem",0,VLOOKUP(YEAR(A211),'ÖNYP kalkulátor'!$E$15:$J$75,4)))*0.2,0),R211)</f>
        <v>150000</v>
      </c>
      <c r="T211" s="4">
        <f ca="1">(1+VLOOKUP(YEAR(A211),'ÖNYP kalkulátor'!$E$15:$F$75,2,FALSE)+VLOOKUP(YEAR(A211),'ÖNYP kalkulátor'!$E$15:$I$75,5,FALSE))^(1/12)-1</f>
        <v>4.0741237836483535E-3</v>
      </c>
      <c r="U211" s="8">
        <f t="shared" ca="1" si="39"/>
        <v>80142.354002499211</v>
      </c>
      <c r="V211" s="14">
        <f t="shared" ca="1" si="40"/>
        <v>19751207.412004299</v>
      </c>
      <c r="W211" s="8">
        <f t="shared" ca="1" si="41"/>
        <v>11784630.766113335</v>
      </c>
    </row>
    <row r="212" spans="1:23" x14ac:dyDescent="0.2">
      <c r="A212" s="6">
        <f t="shared" ca="1" si="45"/>
        <v>52018</v>
      </c>
      <c r="B212" s="12">
        <f t="shared" ca="1" si="46"/>
        <v>6</v>
      </c>
      <c r="C212" s="7">
        <f ca="1">(YEAR(A212)-YEAR('ÖNYP kalkulátor'!$C$10))+(MONTH(CF!A212)-MONTH('ÖNYP kalkulátor'!$C$10)-1)/12</f>
        <v>61</v>
      </c>
      <c r="D212" s="4">
        <f ca="1">(1+VLOOKUP(YEAR(A212),'ÖNYP kalkulátor'!$E$15:$F$75,2,FALSE))^(1/12)-1</f>
        <v>2.4662697723036864E-3</v>
      </c>
      <c r="E212" s="4">
        <f t="shared" ca="1" si="37"/>
        <v>1.6801476101182249</v>
      </c>
      <c r="F212" s="8">
        <f t="shared" ca="1" si="38"/>
        <v>19751207.412004299</v>
      </c>
      <c r="G212" s="8">
        <v>10000</v>
      </c>
      <c r="H212" s="8">
        <v>250000</v>
      </c>
      <c r="I212" s="8">
        <v>500000</v>
      </c>
      <c r="J212" s="8">
        <v>750000</v>
      </c>
      <c r="K212" s="8"/>
      <c r="L212" s="4">
        <f ca="1">+IF('ÖNYP kalkulátor'!$C$16="nem",0,
IF(MONTH(A212)=1,VLOOKUP(YEAR(A212),'ÖNYP kalkulátor'!$E$15:$J$75,4),0))</f>
        <v>0</v>
      </c>
      <c r="M212" s="8">
        <f t="shared" ca="1" si="47"/>
        <v>51072.991837197129</v>
      </c>
      <c r="N212" s="8">
        <f t="shared" ca="1" si="48"/>
        <v>17024.330612399044</v>
      </c>
      <c r="O212" s="8">
        <f t="shared" ca="1" si="42"/>
        <v>408583.93469757703</v>
      </c>
      <c r="P212" s="8">
        <f t="shared" ca="1" si="43"/>
        <v>385254.73796269821</v>
      </c>
      <c r="Q212" s="8">
        <f t="shared" ca="1" si="44"/>
        <v>64692.45632711635</v>
      </c>
      <c r="R212" s="13">
        <v>150000</v>
      </c>
      <c r="S212" s="13">
        <f ca="1">MIN(IF(AND(MONTH(A212)=5,'ÖNYP kalkulátor'!$IU$6="igen"),(M212+N212)*12/(1+IF('ÖNYP kalkulátor'!$C$16="nem",0,VLOOKUP(YEAR(A212),'ÖNYP kalkulátor'!$E$15:$J$75,4)))*0.2,0),R212)</f>
        <v>0</v>
      </c>
      <c r="T212" s="4">
        <f ca="1">(1+VLOOKUP(YEAR(A212),'ÖNYP kalkulátor'!$E$15:$F$75,2,FALSE)+VLOOKUP(YEAR(A212),'ÖNYP kalkulátor'!$E$15:$I$75,5,FALSE))^(1/12)-1</f>
        <v>4.0741237836483535E-3</v>
      </c>
      <c r="U212" s="8">
        <f t="shared" ca="1" si="39"/>
        <v>80732.428947963301</v>
      </c>
      <c r="V212" s="14">
        <f t="shared" ca="1" si="40"/>
        <v>19896632.29727938</v>
      </c>
      <c r="W212" s="8">
        <f t="shared" ca="1" si="41"/>
        <v>11842193.017719043</v>
      </c>
    </row>
    <row r="213" spans="1:23" x14ac:dyDescent="0.2">
      <c r="A213" s="6">
        <f t="shared" ca="1" si="45"/>
        <v>52048</v>
      </c>
      <c r="B213" s="12">
        <f t="shared" ca="1" si="46"/>
        <v>7</v>
      </c>
      <c r="C213" s="7">
        <f ca="1">(YEAR(A213)-YEAR('ÖNYP kalkulátor'!$C$10))+(MONTH(CF!A213)-MONTH('ÖNYP kalkulátor'!$C$10)-1)/12</f>
        <v>61.083333333333336</v>
      </c>
      <c r="D213" s="4">
        <f ca="1">(1+VLOOKUP(YEAR(A213),'ÖNYP kalkulátor'!$E$15:$F$75,2,FALSE))^(1/12)-1</f>
        <v>2.4662697723036864E-3</v>
      </c>
      <c r="E213" s="4">
        <f t="shared" ca="1" si="37"/>
        <v>1.6842913073820678</v>
      </c>
      <c r="F213" s="8">
        <f t="shared" ca="1" si="38"/>
        <v>19896632.29727938</v>
      </c>
      <c r="G213" s="8">
        <v>10000</v>
      </c>
      <c r="H213" s="8">
        <v>250000</v>
      </c>
      <c r="I213" s="8">
        <v>500000</v>
      </c>
      <c r="J213" s="8">
        <v>750000</v>
      </c>
      <c r="K213" s="8"/>
      <c r="L213" s="4">
        <f ca="1">+IF('ÖNYP kalkulátor'!$C$16="nem",0,
IF(MONTH(A213)=1,VLOOKUP(YEAR(A213),'ÖNYP kalkulátor'!$E$15:$J$75,4),0))</f>
        <v>0</v>
      </c>
      <c r="M213" s="8">
        <f t="shared" ca="1" si="47"/>
        <v>51072.991837197129</v>
      </c>
      <c r="N213" s="8">
        <f t="shared" ca="1" si="48"/>
        <v>17024.330612399044</v>
      </c>
      <c r="O213" s="8">
        <f t="shared" ca="1" si="42"/>
        <v>476681.25714717316</v>
      </c>
      <c r="P213" s="8">
        <f t="shared" ca="1" si="43"/>
        <v>449947.19428981451</v>
      </c>
      <c r="Q213" s="8">
        <f t="shared" ca="1" si="44"/>
        <v>64692.456327116292</v>
      </c>
      <c r="R213" s="13">
        <v>150000</v>
      </c>
      <c r="S213" s="13">
        <f ca="1">MIN(IF(AND(MONTH(A213)=5,'ÖNYP kalkulátor'!$IU$6="igen"),(M213+N213)*12/(1+IF('ÖNYP kalkulátor'!$C$16="nem",0,VLOOKUP(YEAR(A213),'ÖNYP kalkulátor'!$E$15:$J$75,4)))*0.2,0),R213)</f>
        <v>0</v>
      </c>
      <c r="T213" s="4">
        <f ca="1">(1+VLOOKUP(YEAR(A213),'ÖNYP kalkulátor'!$E$15:$F$75,2,FALSE)+VLOOKUP(YEAR(A213),'ÖNYP kalkulátor'!$E$15:$I$75,5,FALSE))^(1/12)-1</f>
        <v>4.0741237836483535E-3</v>
      </c>
      <c r="U213" s="8">
        <f t="shared" ca="1" si="39"/>
        <v>81324.907931796843</v>
      </c>
      <c r="V213" s="14">
        <f t="shared" ca="1" si="40"/>
        <v>20042649.661538295</v>
      </c>
      <c r="W213" s="8">
        <f t="shared" ca="1" si="41"/>
        <v>11899752.479688944</v>
      </c>
    </row>
    <row r="214" spans="1:23" x14ac:dyDescent="0.2">
      <c r="A214" s="6">
        <f t="shared" ca="1" si="45"/>
        <v>52079</v>
      </c>
      <c r="B214" s="12">
        <f t="shared" ca="1" si="46"/>
        <v>8</v>
      </c>
      <c r="C214" s="7">
        <f ca="1">(YEAR(A214)-YEAR('ÖNYP kalkulátor'!$C$10))+(MONTH(CF!A214)-MONTH('ÖNYP kalkulátor'!$C$10)-1)/12</f>
        <v>61.166666666666664</v>
      </c>
      <c r="D214" s="4">
        <f ca="1">(1+VLOOKUP(YEAR(A214),'ÖNYP kalkulátor'!$E$15:$F$75,2,FALSE))^(1/12)-1</f>
        <v>2.4662697723036864E-3</v>
      </c>
      <c r="E214" s="4">
        <f t="shared" ca="1" si="37"/>
        <v>1.688445224121218</v>
      </c>
      <c r="F214" s="8">
        <f t="shared" ca="1" si="38"/>
        <v>20042649.661538295</v>
      </c>
      <c r="G214" s="8">
        <v>10000</v>
      </c>
      <c r="H214" s="8">
        <v>250000</v>
      </c>
      <c r="I214" s="8">
        <v>500000</v>
      </c>
      <c r="J214" s="8">
        <v>750000</v>
      </c>
      <c r="K214" s="8"/>
      <c r="L214" s="4">
        <f ca="1">+IF('ÖNYP kalkulátor'!$C$16="nem",0,
IF(MONTH(A214)=1,VLOOKUP(YEAR(A214),'ÖNYP kalkulátor'!$E$15:$J$75,4),0))</f>
        <v>0</v>
      </c>
      <c r="M214" s="8">
        <f t="shared" ca="1" si="47"/>
        <v>51072.991837197129</v>
      </c>
      <c r="N214" s="8">
        <f t="shared" ca="1" si="48"/>
        <v>17024.330612399044</v>
      </c>
      <c r="O214" s="8">
        <f t="shared" ca="1" si="42"/>
        <v>544778.5795967693</v>
      </c>
      <c r="P214" s="8">
        <f t="shared" ca="1" si="43"/>
        <v>515983.00800483389</v>
      </c>
      <c r="Q214" s="8">
        <f t="shared" ca="1" si="44"/>
        <v>66035.81371501938</v>
      </c>
      <c r="R214" s="13">
        <v>150000</v>
      </c>
      <c r="S214" s="13">
        <f ca="1">MIN(IF(AND(MONTH(A214)=5,'ÖNYP kalkulátor'!$IU$6="igen"),(M214+N214)*12/(1+IF('ÖNYP kalkulátor'!$C$16="nem",0,VLOOKUP(YEAR(A214),'ÖNYP kalkulátor'!$E$15:$J$75,4)))*0.2,0),R214)</f>
        <v>0</v>
      </c>
      <c r="T214" s="4">
        <f ca="1">(1+VLOOKUP(YEAR(A214),'ÖNYP kalkulátor'!$E$15:$F$75,2,FALSE)+VLOOKUP(YEAR(A214),'ÖNYP kalkulátor'!$E$15:$I$75,5,FALSE))^(1/12)-1</f>
        <v>4.0741237836483535E-3</v>
      </c>
      <c r="U214" s="8">
        <f t="shared" ca="1" si="39"/>
        <v>81925.273752633715</v>
      </c>
      <c r="V214" s="14">
        <f t="shared" ca="1" si="40"/>
        <v>20190610.749005947</v>
      </c>
      <c r="W214" s="8">
        <f t="shared" ca="1" si="41"/>
        <v>11958108.240979223</v>
      </c>
    </row>
    <row r="215" spans="1:23" x14ac:dyDescent="0.2">
      <c r="A215" s="6">
        <f t="shared" ca="1" si="45"/>
        <v>52110</v>
      </c>
      <c r="B215" s="12">
        <f t="shared" ca="1" si="46"/>
        <v>9</v>
      </c>
      <c r="C215" s="7">
        <f ca="1">(YEAR(A215)-YEAR('ÖNYP kalkulátor'!$C$10))+(MONTH(CF!A215)-MONTH('ÖNYP kalkulátor'!$C$10)-1)/12</f>
        <v>61.25</v>
      </c>
      <c r="D215" s="4">
        <f ca="1">(1+VLOOKUP(YEAR(A215),'ÖNYP kalkulátor'!$E$15:$F$75,2,FALSE))^(1/12)-1</f>
        <v>2.4662697723036864E-3</v>
      </c>
      <c r="E215" s="4">
        <f t="shared" ca="1" si="37"/>
        <v>1.6926093855396587</v>
      </c>
      <c r="F215" s="8">
        <f t="shared" ca="1" si="38"/>
        <v>20190610.749005947</v>
      </c>
      <c r="G215" s="8">
        <v>10000</v>
      </c>
      <c r="H215" s="8">
        <v>250000</v>
      </c>
      <c r="I215" s="8">
        <v>500000</v>
      </c>
      <c r="J215" s="8">
        <v>750000</v>
      </c>
      <c r="K215" s="8"/>
      <c r="L215" s="4">
        <f ca="1">+IF('ÖNYP kalkulátor'!$C$16="nem",0,
IF(MONTH(A215)=1,VLOOKUP(YEAR(A215),'ÖNYP kalkulátor'!$E$15:$J$75,4),0))</f>
        <v>0</v>
      </c>
      <c r="M215" s="8">
        <f t="shared" ca="1" si="47"/>
        <v>51072.991837197129</v>
      </c>
      <c r="N215" s="8">
        <f t="shared" ca="1" si="48"/>
        <v>17024.330612399044</v>
      </c>
      <c r="O215" s="8">
        <f t="shared" ca="1" si="42"/>
        <v>612875.90204636543</v>
      </c>
      <c r="P215" s="8">
        <f t="shared" ca="1" si="43"/>
        <v>582718.38400543807</v>
      </c>
      <c r="Q215" s="8">
        <f t="shared" ca="1" si="44"/>
        <v>66735.376000604185</v>
      </c>
      <c r="R215" s="13">
        <v>150000</v>
      </c>
      <c r="S215" s="13">
        <f ca="1">MIN(IF(AND(MONTH(A215)=5,'ÖNYP kalkulátor'!$IU$6="igen"),(M215+N215)*12/(1+IF('ÖNYP kalkulátor'!$C$16="nem",0,VLOOKUP(YEAR(A215),'ÖNYP kalkulátor'!$E$15:$J$75,4)))*0.2,0),R215)</f>
        <v>0</v>
      </c>
      <c r="T215" s="4">
        <f ca="1">(1+VLOOKUP(YEAR(A215),'ÖNYP kalkulátor'!$E$15:$F$75,2,FALSE)+VLOOKUP(YEAR(A215),'ÖNYP kalkulátor'!$E$15:$I$75,5,FALSE))^(1/12)-1</f>
        <v>4.0741237836483535E-3</v>
      </c>
      <c r="U215" s="8">
        <f t="shared" ca="1" si="39"/>
        <v>82530.935641486009</v>
      </c>
      <c r="V215" s="14">
        <f t="shared" ca="1" si="40"/>
        <v>20339877.060648039</v>
      </c>
      <c r="W215" s="8">
        <f t="shared" ca="1" si="41"/>
        <v>12016875.975293631</v>
      </c>
    </row>
    <row r="216" spans="1:23" x14ac:dyDescent="0.2">
      <c r="A216" s="6">
        <f t="shared" ca="1" si="45"/>
        <v>52140</v>
      </c>
      <c r="B216" s="12">
        <f t="shared" ca="1" si="46"/>
        <v>10</v>
      </c>
      <c r="C216" s="7">
        <f ca="1">(YEAR(A216)-YEAR('ÖNYP kalkulátor'!$C$10))+(MONTH(CF!A216)-MONTH('ÖNYP kalkulátor'!$C$10)-1)/12</f>
        <v>61.333333333333336</v>
      </c>
      <c r="D216" s="4">
        <f ca="1">(1+VLOOKUP(YEAR(A216),'ÖNYP kalkulátor'!$E$15:$F$75,2,FALSE))^(1/12)-1</f>
        <v>2.4662697723036864E-3</v>
      </c>
      <c r="E216" s="4">
        <f t="shared" ca="1" si="37"/>
        <v>1.6967838169035327</v>
      </c>
      <c r="F216" s="8">
        <f t="shared" ca="1" si="38"/>
        <v>20339877.060648039</v>
      </c>
      <c r="G216" s="8">
        <v>10000</v>
      </c>
      <c r="H216" s="8">
        <v>250000</v>
      </c>
      <c r="I216" s="8">
        <v>500000</v>
      </c>
      <c r="J216" s="8">
        <v>750000</v>
      </c>
      <c r="K216" s="8"/>
      <c r="L216" s="4">
        <f ca="1">+IF('ÖNYP kalkulátor'!$C$16="nem",0,
IF(MONTH(A216)=1,VLOOKUP(YEAR(A216),'ÖNYP kalkulátor'!$E$15:$J$75,4),0))</f>
        <v>0</v>
      </c>
      <c r="M216" s="8">
        <f t="shared" ca="1" si="47"/>
        <v>51072.991837197129</v>
      </c>
      <c r="N216" s="8">
        <f t="shared" ca="1" si="48"/>
        <v>17024.330612399044</v>
      </c>
      <c r="O216" s="8">
        <f t="shared" ca="1" si="42"/>
        <v>680973.22449596156</v>
      </c>
      <c r="P216" s="8">
        <f t="shared" ca="1" si="43"/>
        <v>649453.76000604231</v>
      </c>
      <c r="Q216" s="8">
        <f t="shared" ca="1" si="44"/>
        <v>66735.376000604243</v>
      </c>
      <c r="R216" s="13">
        <v>150000</v>
      </c>
      <c r="S216" s="13">
        <f ca="1">MIN(IF(AND(MONTH(A216)=5,'ÖNYP kalkulátor'!$IU$6="igen"),(M216+N216)*12/(1+IF('ÖNYP kalkulátor'!$C$16="nem",0,VLOOKUP(YEAR(A216),'ÖNYP kalkulátor'!$E$15:$J$75,4)))*0.2,0),R216)</f>
        <v>0</v>
      </c>
      <c r="T216" s="4">
        <f ca="1">(1+VLOOKUP(YEAR(A216),'ÖNYP kalkulátor'!$E$15:$F$75,2,FALSE)+VLOOKUP(YEAR(A216),'ÖNYP kalkulátor'!$E$15:$I$75,5,FALSE))^(1/12)-1</f>
        <v>4.0741237836483535E-3</v>
      </c>
      <c r="U216" s="8">
        <f t="shared" ca="1" si="39"/>
        <v>83139.065071844525</v>
      </c>
      <c r="V216" s="14">
        <f t="shared" ca="1" si="40"/>
        <v>20489751.501720488</v>
      </c>
      <c r="W216" s="8">
        <f t="shared" ca="1" si="41"/>
        <v>12075640.572239965</v>
      </c>
    </row>
    <row r="217" spans="1:23" x14ac:dyDescent="0.2">
      <c r="A217" s="6">
        <f t="shared" ca="1" si="45"/>
        <v>52171</v>
      </c>
      <c r="B217" s="12">
        <f t="shared" ca="1" si="46"/>
        <v>11</v>
      </c>
      <c r="C217" s="7">
        <f ca="1">(YEAR(A217)-YEAR('ÖNYP kalkulátor'!$C$10))+(MONTH(CF!A217)-MONTH('ÖNYP kalkulátor'!$C$10)-1)/12</f>
        <v>61.416666666666664</v>
      </c>
      <c r="D217" s="4">
        <f ca="1">(1+VLOOKUP(YEAR(A217),'ÖNYP kalkulátor'!$E$15:$F$75,2,FALSE))^(1/12)-1</f>
        <v>2.4662697723036864E-3</v>
      </c>
      <c r="E217" s="4">
        <f t="shared" ca="1" si="37"/>
        <v>1.700968543541296</v>
      </c>
      <c r="F217" s="8">
        <f t="shared" ca="1" si="38"/>
        <v>20489751.501720488</v>
      </c>
      <c r="G217" s="8">
        <v>10000</v>
      </c>
      <c r="H217" s="8">
        <v>250000</v>
      </c>
      <c r="I217" s="8">
        <v>500000</v>
      </c>
      <c r="J217" s="8">
        <v>750000</v>
      </c>
      <c r="K217" s="8"/>
      <c r="L217" s="4">
        <f ca="1">+IF('ÖNYP kalkulátor'!$C$16="nem",0,
IF(MONTH(A217)=1,VLOOKUP(YEAR(A217),'ÖNYP kalkulátor'!$E$15:$J$75,4),0))</f>
        <v>0</v>
      </c>
      <c r="M217" s="8">
        <f t="shared" ca="1" si="47"/>
        <v>51072.991837197129</v>
      </c>
      <c r="N217" s="8">
        <f t="shared" ca="1" si="48"/>
        <v>17024.330612399044</v>
      </c>
      <c r="O217" s="8">
        <f t="shared" ca="1" si="42"/>
        <v>749070.5469455577</v>
      </c>
      <c r="P217" s="8">
        <f t="shared" ca="1" si="43"/>
        <v>716189.13600664656</v>
      </c>
      <c r="Q217" s="8">
        <f t="shared" ca="1" si="44"/>
        <v>66735.376000604243</v>
      </c>
      <c r="R217" s="13">
        <v>150000</v>
      </c>
      <c r="S217" s="13">
        <f ca="1">MIN(IF(AND(MONTH(A217)=5,'ÖNYP kalkulátor'!$IU$6="igen"),(M217+N217)*12/(1+IF('ÖNYP kalkulátor'!$C$16="nem",0,VLOOKUP(YEAR(A217),'ÖNYP kalkulátor'!$E$15:$J$75,4)))*0.2,0),R217)</f>
        <v>0</v>
      </c>
      <c r="T217" s="4">
        <f ca="1">(1+VLOOKUP(YEAR(A217),'ÖNYP kalkulátor'!$E$15:$F$75,2,FALSE)+VLOOKUP(YEAR(A217),'ÖNYP kalkulátor'!$E$15:$I$75,5,FALSE))^(1/12)-1</f>
        <v>4.0741237836483535E-3</v>
      </c>
      <c r="U217" s="8">
        <f t="shared" ca="1" si="39"/>
        <v>83749.672096778784</v>
      </c>
      <c r="V217" s="14">
        <f t="shared" ca="1" si="40"/>
        <v>20640236.549817871</v>
      </c>
      <c r="W217" s="8">
        <f t="shared" ca="1" si="41"/>
        <v>12134402.266397215</v>
      </c>
    </row>
    <row r="218" spans="1:23" x14ac:dyDescent="0.2">
      <c r="A218" s="6">
        <f t="shared" ca="1" si="45"/>
        <v>52201</v>
      </c>
      <c r="B218" s="12">
        <f t="shared" ca="1" si="46"/>
        <v>12</v>
      </c>
      <c r="C218" s="7">
        <f ca="1">(YEAR(A218)-YEAR('ÖNYP kalkulátor'!$C$10))+(MONTH(CF!A218)-MONTH('ÖNYP kalkulátor'!$C$10)-1)/12</f>
        <v>61.5</v>
      </c>
      <c r="D218" s="4">
        <f ca="1">(1+VLOOKUP(YEAR(A218),'ÖNYP kalkulátor'!$E$15:$F$75,2,FALSE))^(1/12)-1</f>
        <v>2.4662697723036864E-3</v>
      </c>
      <c r="E218" s="4">
        <f t="shared" ca="1" si="37"/>
        <v>1.7051635908438714</v>
      </c>
      <c r="F218" s="8">
        <f t="shared" ca="1" si="38"/>
        <v>20640236.549817871</v>
      </c>
      <c r="G218" s="8">
        <v>10000</v>
      </c>
      <c r="H218" s="8">
        <v>250000</v>
      </c>
      <c r="I218" s="8">
        <v>500000</v>
      </c>
      <c r="J218" s="8">
        <v>750000</v>
      </c>
      <c r="K218" s="8"/>
      <c r="L218" s="4">
        <f ca="1">+IF('ÖNYP kalkulátor'!$C$16="nem",0,
IF(MONTH(A218)=1,VLOOKUP(YEAR(A218),'ÖNYP kalkulátor'!$E$15:$J$75,4),0))</f>
        <v>0</v>
      </c>
      <c r="M218" s="8">
        <f t="shared" ca="1" si="47"/>
        <v>51072.991837197129</v>
      </c>
      <c r="N218" s="8">
        <f t="shared" ca="1" si="48"/>
        <v>17024.330612399044</v>
      </c>
      <c r="O218" s="8">
        <f t="shared" ca="1" si="42"/>
        <v>817167.86939515383</v>
      </c>
      <c r="P218" s="8">
        <f t="shared" ca="1" si="43"/>
        <v>783932.03004817804</v>
      </c>
      <c r="Q218" s="8">
        <f t="shared" ca="1" si="44"/>
        <v>67742.894041531486</v>
      </c>
      <c r="R218" s="13">
        <v>150000</v>
      </c>
      <c r="S218" s="13">
        <f ca="1">MIN(IF(AND(MONTH(A218)=5,'ÖNYP kalkulátor'!$IU$6="igen"),(M218+N218)*12/(1+IF('ÖNYP kalkulátor'!$C$16="nem",0,VLOOKUP(YEAR(A218),'ÖNYP kalkulátor'!$E$15:$J$75,4)))*0.2,0),R218)</f>
        <v>0</v>
      </c>
      <c r="T218" s="4">
        <f ca="1">(1+VLOOKUP(YEAR(A218),'ÖNYP kalkulátor'!$E$15:$F$75,2,FALSE)+VLOOKUP(YEAR(A218),'ÖNYP kalkulátor'!$E$15:$I$75,5,FALSE))^(1/12)-1</f>
        <v>4.0741237836483535E-3</v>
      </c>
      <c r="U218" s="8">
        <f t="shared" ca="1" si="39"/>
        <v>84366.871563528795</v>
      </c>
      <c r="V218" s="14">
        <f t="shared" ca="1" si="40"/>
        <v>20792346.31542293</v>
      </c>
      <c r="W218" s="8">
        <f t="shared" ca="1" si="41"/>
        <v>12193754.562360184</v>
      </c>
    </row>
    <row r="219" spans="1:23" x14ac:dyDescent="0.2">
      <c r="A219" s="6">
        <f t="shared" ca="1" si="45"/>
        <v>52232</v>
      </c>
      <c r="B219" s="12">
        <f t="shared" ca="1" si="46"/>
        <v>1</v>
      </c>
      <c r="C219" s="7">
        <f ca="1">(YEAR(A219)-YEAR('ÖNYP kalkulátor'!$C$10))+(MONTH(CF!A219)-MONTH('ÖNYP kalkulátor'!$C$10)-1)/12</f>
        <v>61.583333333333336</v>
      </c>
      <c r="D219" s="4">
        <f ca="1">(1+VLOOKUP(YEAR(A219),'ÖNYP kalkulátor'!$E$15:$F$75,2,FALSE))^(1/12)-1</f>
        <v>2.4662697723036864E-3</v>
      </c>
      <c r="E219" s="4">
        <f t="shared" ca="1" si="37"/>
        <v>1.7093689842648023</v>
      </c>
      <c r="F219" s="8">
        <f t="shared" ca="1" si="38"/>
        <v>20792346.31542293</v>
      </c>
      <c r="G219" s="8">
        <v>10000</v>
      </c>
      <c r="H219" s="8">
        <v>250000</v>
      </c>
      <c r="I219" s="8">
        <v>500000</v>
      </c>
      <c r="J219" s="8">
        <v>750000</v>
      </c>
      <c r="K219" s="8"/>
      <c r="L219" s="4">
        <f ca="1">+IF('ÖNYP kalkulátor'!$C$16="nem",0,
IF(MONTH(A219)=1,VLOOKUP(YEAR(A219),'ÖNYP kalkulátor'!$E$15:$J$75,4),0))</f>
        <v>0.03</v>
      </c>
      <c r="M219" s="8">
        <f t="shared" ca="1" si="47"/>
        <v>52605.181592313042</v>
      </c>
      <c r="N219" s="8">
        <f t="shared" ca="1" si="48"/>
        <v>17535.060530771018</v>
      </c>
      <c r="O219" s="8">
        <f t="shared" ca="1" si="42"/>
        <v>70140.242123084055</v>
      </c>
      <c r="P219" s="8">
        <f t="shared" ca="1" si="43"/>
        <v>65531.827595699011</v>
      </c>
      <c r="Q219" s="8">
        <f t="shared" ca="1" si="44"/>
        <v>65531.827595699011</v>
      </c>
      <c r="R219" s="13">
        <v>150000</v>
      </c>
      <c r="S219" s="13">
        <f ca="1">MIN(IF(AND(MONTH(A219)=5,'ÖNYP kalkulátor'!$IU$6="igen"),(M219+N219)*12/(1+IF('ÖNYP kalkulátor'!$C$16="nem",0,VLOOKUP(YEAR(A219),'ÖNYP kalkulátor'!$E$15:$J$75,4)))*0.2,0),R219)</f>
        <v>0</v>
      </c>
      <c r="T219" s="4">
        <f ca="1">(1+VLOOKUP(YEAR(A219),'ÖNYP kalkulátor'!$E$15:$F$75,2,FALSE)+VLOOKUP(YEAR(A219),'ÖNYP kalkulátor'!$E$15:$I$75,5,FALSE))^(1/12)-1</f>
        <v>4.0741237836483535E-3</v>
      </c>
      <c r="U219" s="8">
        <f t="shared" ca="1" si="39"/>
        <v>84977.577418911358</v>
      </c>
      <c r="V219" s="14">
        <f t="shared" ca="1" si="40"/>
        <v>20942855.720437542</v>
      </c>
      <c r="W219" s="8">
        <f t="shared" ca="1" si="41"/>
        <v>12251805.147526437</v>
      </c>
    </row>
    <row r="220" spans="1:23" x14ac:dyDescent="0.2">
      <c r="A220" s="6">
        <f t="shared" ca="1" si="45"/>
        <v>52263</v>
      </c>
      <c r="B220" s="12">
        <f t="shared" ca="1" si="46"/>
        <v>2</v>
      </c>
      <c r="C220" s="7">
        <f ca="1">(YEAR(A220)-YEAR('ÖNYP kalkulátor'!$C$10))+(MONTH(CF!A220)-MONTH('ÖNYP kalkulátor'!$C$10)-1)/12</f>
        <v>61.666666666666664</v>
      </c>
      <c r="D220" s="4">
        <f ca="1">(1+VLOOKUP(YEAR(A220),'ÖNYP kalkulátor'!$E$15:$F$75,2,FALSE))^(1/12)-1</f>
        <v>2.4662697723036864E-3</v>
      </c>
      <c r="E220" s="4">
        <f t="shared" ca="1" si="37"/>
        <v>1.7135847493204082</v>
      </c>
      <c r="F220" s="8">
        <f t="shared" ca="1" si="38"/>
        <v>20942855.720437542</v>
      </c>
      <c r="G220" s="8">
        <v>10000</v>
      </c>
      <c r="H220" s="8">
        <v>250000</v>
      </c>
      <c r="I220" s="8">
        <v>500000</v>
      </c>
      <c r="J220" s="8">
        <v>750000</v>
      </c>
      <c r="K220" s="8"/>
      <c r="L220" s="4">
        <f ca="1">+IF('ÖNYP kalkulátor'!$C$16="nem",0,
IF(MONTH(A220)=1,VLOOKUP(YEAR(A220),'ÖNYP kalkulátor'!$E$15:$J$75,4),0))</f>
        <v>0</v>
      </c>
      <c r="M220" s="8">
        <f t="shared" ca="1" si="47"/>
        <v>52605.181592313042</v>
      </c>
      <c r="N220" s="8">
        <f t="shared" ca="1" si="48"/>
        <v>17535.060530771018</v>
      </c>
      <c r="O220" s="8">
        <f t="shared" ca="1" si="42"/>
        <v>140280.48424616811</v>
      </c>
      <c r="P220" s="8">
        <f t="shared" ca="1" si="43"/>
        <v>131463.65519139802</v>
      </c>
      <c r="Q220" s="8">
        <f t="shared" ca="1" si="44"/>
        <v>65931.827595699011</v>
      </c>
      <c r="R220" s="13">
        <v>150000</v>
      </c>
      <c r="S220" s="13">
        <f ca="1">MIN(IF(AND(MONTH(A220)=5,'ÖNYP kalkulátor'!$IU$6="igen"),(M220+N220)*12/(1+IF('ÖNYP kalkulátor'!$C$16="nem",0,VLOOKUP(YEAR(A220),'ÖNYP kalkulátor'!$E$15:$J$75,4)))*0.2,0),R220)</f>
        <v>0</v>
      </c>
      <c r="T220" s="4">
        <f ca="1">(1+VLOOKUP(YEAR(A220),'ÖNYP kalkulátor'!$E$15:$F$75,2,FALSE)+VLOOKUP(YEAR(A220),'ÖNYP kalkulátor'!$E$15:$I$75,5,FALSE))^(1/12)-1</f>
        <v>4.0741237836483535E-3</v>
      </c>
      <c r="U220" s="8">
        <f t="shared" ca="1" si="39"/>
        <v>85592.401015057607</v>
      </c>
      <c r="V220" s="14">
        <f t="shared" ca="1" si="40"/>
        <v>21094379.949048299</v>
      </c>
      <c r="W220" s="8">
        <f t="shared" ca="1" si="41"/>
        <v>12310088.519061655</v>
      </c>
    </row>
    <row r="221" spans="1:23" x14ac:dyDescent="0.2">
      <c r="A221" s="6">
        <f t="shared" ca="1" si="45"/>
        <v>52291</v>
      </c>
      <c r="B221" s="12">
        <f t="shared" ca="1" si="46"/>
        <v>3</v>
      </c>
      <c r="C221" s="7">
        <f ca="1">(YEAR(A221)-YEAR('ÖNYP kalkulátor'!$C$10))+(MONTH(CF!A221)-MONTH('ÖNYP kalkulátor'!$C$10)-1)/12</f>
        <v>61.75</v>
      </c>
      <c r="D221" s="4">
        <f ca="1">(1+VLOOKUP(YEAR(A221),'ÖNYP kalkulátor'!$E$15:$F$75,2,FALSE))^(1/12)-1</f>
        <v>2.4662697723036864E-3</v>
      </c>
      <c r="E221" s="4">
        <f t="shared" ca="1" si="37"/>
        <v>1.7178109115899376</v>
      </c>
      <c r="F221" s="8">
        <f t="shared" ca="1" si="38"/>
        <v>21094379.949048299</v>
      </c>
      <c r="G221" s="8">
        <v>10000</v>
      </c>
      <c r="H221" s="8">
        <v>250000</v>
      </c>
      <c r="I221" s="8">
        <v>500000</v>
      </c>
      <c r="J221" s="8">
        <v>750000</v>
      </c>
      <c r="K221" s="8"/>
      <c r="L221" s="4">
        <f ca="1">+IF('ÖNYP kalkulátor'!$C$16="nem",0,
IF(MONTH(A221)=1,VLOOKUP(YEAR(A221),'ÖNYP kalkulátor'!$E$15:$J$75,4),0))</f>
        <v>0</v>
      </c>
      <c r="M221" s="8">
        <f t="shared" ca="1" si="47"/>
        <v>52605.181592313042</v>
      </c>
      <c r="N221" s="8">
        <f t="shared" ca="1" si="48"/>
        <v>17535.060530771018</v>
      </c>
      <c r="O221" s="8">
        <f t="shared" ca="1" si="42"/>
        <v>210420.72636925217</v>
      </c>
      <c r="P221" s="8">
        <f t="shared" ca="1" si="43"/>
        <v>197395.48278709702</v>
      </c>
      <c r="Q221" s="8">
        <f t="shared" ca="1" si="44"/>
        <v>65931.827595698996</v>
      </c>
      <c r="R221" s="13">
        <v>150000</v>
      </c>
      <c r="S221" s="13">
        <f ca="1">MIN(IF(AND(MONTH(A221)=5,'ÖNYP kalkulátor'!$IU$6="igen"),(M221+N221)*12/(1+IF('ÖNYP kalkulátor'!$C$16="nem",0,VLOOKUP(YEAR(A221),'ÖNYP kalkulátor'!$E$15:$J$75,4)))*0.2,0),R221)</f>
        <v>0</v>
      </c>
      <c r="T221" s="4">
        <f ca="1">(1+VLOOKUP(YEAR(A221),'ÖNYP kalkulátor'!$E$15:$F$75,2,FALSE)+VLOOKUP(YEAR(A221),'ÖNYP kalkulátor'!$E$15:$I$75,5,FALSE))^(1/12)-1</f>
        <v>4.0741237836483535E-3</v>
      </c>
      <c r="U221" s="8">
        <f t="shared" ca="1" si="39"/>
        <v>86209.729478639667</v>
      </c>
      <c r="V221" s="14">
        <f t="shared" ca="1" si="40"/>
        <v>21246521.506122638</v>
      </c>
      <c r="W221" s="8">
        <f t="shared" ca="1" si="41"/>
        <v>12368370.326893372</v>
      </c>
    </row>
    <row r="222" spans="1:23" x14ac:dyDescent="0.2">
      <c r="A222" s="6">
        <f t="shared" ca="1" si="45"/>
        <v>52322</v>
      </c>
      <c r="B222" s="12">
        <f t="shared" ca="1" si="46"/>
        <v>4</v>
      </c>
      <c r="C222" s="7">
        <f ca="1">(YEAR(A222)-YEAR('ÖNYP kalkulátor'!$C$10))+(MONTH(CF!A222)-MONTH('ÖNYP kalkulátor'!$C$10)-1)/12</f>
        <v>61.833333333333336</v>
      </c>
      <c r="D222" s="4">
        <f ca="1">(1+VLOOKUP(YEAR(A222),'ÖNYP kalkulátor'!$E$15:$F$75,2,FALSE))^(1/12)-1</f>
        <v>2.4662697723036864E-3</v>
      </c>
      <c r="E222" s="4">
        <f t="shared" ca="1" si="37"/>
        <v>1.7220474967157253</v>
      </c>
      <c r="F222" s="8">
        <f t="shared" ca="1" si="38"/>
        <v>21246521.506122638</v>
      </c>
      <c r="G222" s="8">
        <v>10000</v>
      </c>
      <c r="H222" s="8">
        <v>250000</v>
      </c>
      <c r="I222" s="8">
        <v>500000</v>
      </c>
      <c r="J222" s="8">
        <v>750000</v>
      </c>
      <c r="K222" s="8"/>
      <c r="L222" s="4">
        <f ca="1">+IF('ÖNYP kalkulátor'!$C$16="nem",0,
IF(MONTH(A222)=1,VLOOKUP(YEAR(A222),'ÖNYP kalkulátor'!$E$15:$J$75,4),0))</f>
        <v>0</v>
      </c>
      <c r="M222" s="8">
        <f t="shared" ca="1" si="47"/>
        <v>52605.181592313042</v>
      </c>
      <c r="N222" s="8">
        <f t="shared" ca="1" si="48"/>
        <v>17535.060530771018</v>
      </c>
      <c r="O222" s="8">
        <f t="shared" ca="1" si="42"/>
        <v>280560.96849233622</v>
      </c>
      <c r="P222" s="8">
        <f t="shared" ca="1" si="43"/>
        <v>263632.92006771942</v>
      </c>
      <c r="Q222" s="8">
        <f t="shared" ca="1" si="44"/>
        <v>66237.437280622398</v>
      </c>
      <c r="R222" s="13">
        <v>150000</v>
      </c>
      <c r="S222" s="13">
        <f ca="1">MIN(IF(AND(MONTH(A222)=5,'ÖNYP kalkulátor'!$IU$6="igen"),(M222+N222)*12/(1+IF('ÖNYP kalkulátor'!$C$16="nem",0,VLOOKUP(YEAR(A222),'ÖNYP kalkulátor'!$E$15:$J$75,4)))*0.2,0),R222)</f>
        <v>0</v>
      </c>
      <c r="T222" s="4">
        <f ca="1">(1+VLOOKUP(YEAR(A222),'ÖNYP kalkulátor'!$E$15:$F$75,2,FALSE)+VLOOKUP(YEAR(A222),'ÖNYP kalkulátor'!$E$15:$I$75,5,FALSE))^(1/12)-1</f>
        <v>4.0741237836483535E-3</v>
      </c>
      <c r="U222" s="8">
        <f t="shared" ca="1" si="39"/>
        <v>86830.818106483362</v>
      </c>
      <c r="V222" s="14">
        <f t="shared" ca="1" si="40"/>
        <v>21399589.761509743</v>
      </c>
      <c r="W222" s="8">
        <f t="shared" ca="1" si="41"/>
        <v>12426828.994161231</v>
      </c>
    </row>
    <row r="223" spans="1:23" x14ac:dyDescent="0.2">
      <c r="A223" s="6">
        <f t="shared" ca="1" si="45"/>
        <v>52352</v>
      </c>
      <c r="B223" s="12">
        <f t="shared" ca="1" si="46"/>
        <v>5</v>
      </c>
      <c r="C223" s="7">
        <f ca="1">(YEAR(A223)-YEAR('ÖNYP kalkulátor'!$C$10))+(MONTH(CF!A223)-MONTH('ÖNYP kalkulátor'!$C$10)-1)/12</f>
        <v>61.916666666666664</v>
      </c>
      <c r="D223" s="4">
        <f ca="1">(1+VLOOKUP(YEAR(A223),'ÖNYP kalkulátor'!$E$15:$F$75,2,FALSE))^(1/12)-1</f>
        <v>2.4662697723036864E-3</v>
      </c>
      <c r="E223" s="4">
        <f t="shared" ca="1" si="37"/>
        <v>1.7262945304033466</v>
      </c>
      <c r="F223" s="8">
        <f t="shared" ca="1" si="38"/>
        <v>21399589.761509743</v>
      </c>
      <c r="G223" s="8">
        <v>10000</v>
      </c>
      <c r="H223" s="8">
        <v>250000</v>
      </c>
      <c r="I223" s="8">
        <v>500000</v>
      </c>
      <c r="J223" s="8">
        <v>750000</v>
      </c>
      <c r="K223" s="8"/>
      <c r="L223" s="4">
        <f ca="1">+IF('ÖNYP kalkulátor'!$C$16="nem",0,
IF(MONTH(A223)=1,VLOOKUP(YEAR(A223),'ÖNYP kalkulátor'!$E$15:$J$75,4),0))</f>
        <v>0</v>
      </c>
      <c r="M223" s="8">
        <f t="shared" ca="1" si="47"/>
        <v>52605.181592313042</v>
      </c>
      <c r="N223" s="8">
        <f t="shared" ca="1" si="48"/>
        <v>17535.060530771018</v>
      </c>
      <c r="O223" s="8">
        <f t="shared" ca="1" si="42"/>
        <v>350701.21061542031</v>
      </c>
      <c r="P223" s="8">
        <f t="shared" ca="1" si="43"/>
        <v>330266.15008464927</v>
      </c>
      <c r="Q223" s="8">
        <f t="shared" ca="1" si="44"/>
        <v>66633.230016929854</v>
      </c>
      <c r="R223" s="13">
        <v>150000</v>
      </c>
      <c r="S223" s="13">
        <f ca="1">MIN(IF(AND(MONTH(A223)=5,'ÖNYP kalkulátor'!$IU$6="igen"),(M223+N223)*12/(1+IF('ÖNYP kalkulátor'!$C$16="nem",0,VLOOKUP(YEAR(A223),'ÖNYP kalkulátor'!$E$15:$J$75,4)))*0.2,0),R223)</f>
        <v>150000</v>
      </c>
      <c r="T223" s="4">
        <f ca="1">(1+VLOOKUP(YEAR(A223),'ÖNYP kalkulátor'!$E$15:$F$75,2,FALSE)+VLOOKUP(YEAR(A223),'ÖNYP kalkulátor'!$E$15:$I$75,5,FALSE))^(1/12)-1</f>
        <v>4.0741237836483535E-3</v>
      </c>
      <c r="U223" s="8">
        <f t="shared" ca="1" si="39"/>
        <v>88067.168202425164</v>
      </c>
      <c r="V223" s="14">
        <f t="shared" ca="1" si="40"/>
        <v>21704290.159729097</v>
      </c>
      <c r="W223" s="8">
        <f t="shared" ca="1" si="41"/>
        <v>12572761.934580142</v>
      </c>
    </row>
    <row r="224" spans="1:23" x14ac:dyDescent="0.2">
      <c r="A224" s="6">
        <f t="shared" ca="1" si="45"/>
        <v>52383</v>
      </c>
      <c r="B224" s="12">
        <f t="shared" ca="1" si="46"/>
        <v>6</v>
      </c>
      <c r="C224" s="7">
        <f ca="1">(YEAR(A224)-YEAR('ÖNYP kalkulátor'!$C$10))+(MONTH(CF!A224)-MONTH('ÖNYP kalkulátor'!$C$10)-1)/12</f>
        <v>62</v>
      </c>
      <c r="D224" s="4">
        <f ca="1">(1+VLOOKUP(YEAR(A224),'ÖNYP kalkulátor'!$E$15:$F$75,2,FALSE))^(1/12)-1</f>
        <v>2.4662697723036864E-3</v>
      </c>
      <c r="E224" s="4">
        <f t="shared" ca="1" si="37"/>
        <v>1.7305520384217736</v>
      </c>
      <c r="F224" s="8">
        <f t="shared" ca="1" si="38"/>
        <v>21704290.159729097</v>
      </c>
      <c r="G224" s="8">
        <v>10000</v>
      </c>
      <c r="H224" s="8">
        <v>250000</v>
      </c>
      <c r="I224" s="8">
        <v>500000</v>
      </c>
      <c r="J224" s="8">
        <v>750000</v>
      </c>
      <c r="K224" s="8"/>
      <c r="L224" s="4">
        <f ca="1">+IF('ÖNYP kalkulátor'!$C$16="nem",0,
IF(MONTH(A224)=1,VLOOKUP(YEAR(A224),'ÖNYP kalkulátor'!$E$15:$J$75,4),0))</f>
        <v>0</v>
      </c>
      <c r="M224" s="8">
        <f t="shared" ca="1" si="47"/>
        <v>52605.181592313042</v>
      </c>
      <c r="N224" s="8">
        <f t="shared" ca="1" si="48"/>
        <v>17535.060530771018</v>
      </c>
      <c r="O224" s="8">
        <f t="shared" ca="1" si="42"/>
        <v>420841.45273850439</v>
      </c>
      <c r="P224" s="8">
        <f t="shared" ca="1" si="43"/>
        <v>396899.38010157913</v>
      </c>
      <c r="Q224" s="8">
        <f t="shared" ca="1" si="44"/>
        <v>66633.230016929854</v>
      </c>
      <c r="R224" s="13">
        <v>150000</v>
      </c>
      <c r="S224" s="13">
        <f ca="1">MIN(IF(AND(MONTH(A224)=5,'ÖNYP kalkulátor'!$IU$6="igen"),(M224+N224)*12/(1+IF('ÖNYP kalkulátor'!$C$16="nem",0,VLOOKUP(YEAR(A224),'ÖNYP kalkulátor'!$E$15:$J$75,4)))*0.2,0),R224)</f>
        <v>0</v>
      </c>
      <c r="T224" s="4">
        <f ca="1">(1+VLOOKUP(YEAR(A224),'ÖNYP kalkulátor'!$E$15:$F$75,2,FALSE)+VLOOKUP(YEAR(A224),'ÖNYP kalkulátor'!$E$15:$I$75,5,FALSE))^(1/12)-1</f>
        <v>4.0741237836483535E-3</v>
      </c>
      <c r="U224" s="8">
        <f t="shared" ca="1" si="39"/>
        <v>88697.436774150512</v>
      </c>
      <c r="V224" s="14">
        <f t="shared" ca="1" si="40"/>
        <v>21859620.826520175</v>
      </c>
      <c r="W224" s="8">
        <f t="shared" ca="1" si="41"/>
        <v>12631588.268478584</v>
      </c>
    </row>
    <row r="225" spans="1:23" x14ac:dyDescent="0.2">
      <c r="A225" s="6">
        <f t="shared" ca="1" si="45"/>
        <v>52413</v>
      </c>
      <c r="B225" s="12">
        <f t="shared" ca="1" si="46"/>
        <v>7</v>
      </c>
      <c r="C225" s="7">
        <f ca="1">(YEAR(A225)-YEAR('ÖNYP kalkulátor'!$C$10))+(MONTH(CF!A225)-MONTH('ÖNYP kalkulátor'!$C$10)-1)/12</f>
        <v>62.083333333333336</v>
      </c>
      <c r="D225" s="4">
        <f ca="1">(1+VLOOKUP(YEAR(A225),'ÖNYP kalkulátor'!$E$15:$F$75,2,FALSE))^(1/12)-1</f>
        <v>2.4662697723036864E-3</v>
      </c>
      <c r="E225" s="4">
        <f t="shared" ca="1" si="37"/>
        <v>1.7348200466035317</v>
      </c>
      <c r="F225" s="8">
        <f t="shared" ca="1" si="38"/>
        <v>21859620.826520175</v>
      </c>
      <c r="G225" s="8">
        <v>10000</v>
      </c>
      <c r="H225" s="8">
        <v>250000</v>
      </c>
      <c r="I225" s="8">
        <v>500000</v>
      </c>
      <c r="J225" s="8">
        <v>750000</v>
      </c>
      <c r="K225" s="8"/>
      <c r="L225" s="4">
        <f ca="1">+IF('ÖNYP kalkulátor'!$C$16="nem",0,
IF(MONTH(A225)=1,VLOOKUP(YEAR(A225),'ÖNYP kalkulátor'!$E$15:$J$75,4),0))</f>
        <v>0</v>
      </c>
      <c r="M225" s="8">
        <f t="shared" ca="1" si="47"/>
        <v>52605.181592313042</v>
      </c>
      <c r="N225" s="8">
        <f t="shared" ca="1" si="48"/>
        <v>17535.060530771018</v>
      </c>
      <c r="O225" s="8">
        <f t="shared" ca="1" si="42"/>
        <v>490981.69486158848</v>
      </c>
      <c r="P225" s="8">
        <f t="shared" ca="1" si="43"/>
        <v>463532.61011850904</v>
      </c>
      <c r="Q225" s="8">
        <f t="shared" ca="1" si="44"/>
        <v>66633.230016929912</v>
      </c>
      <c r="R225" s="13">
        <v>150000</v>
      </c>
      <c r="S225" s="13">
        <f ca="1">MIN(IF(AND(MONTH(A225)=5,'ÖNYP kalkulátor'!$IU$6="igen"),(M225+N225)*12/(1+IF('ÖNYP kalkulátor'!$C$16="nem",0,VLOOKUP(YEAR(A225),'ÖNYP kalkulátor'!$E$15:$J$75,4)))*0.2,0),R225)</f>
        <v>0</v>
      </c>
      <c r="T225" s="4">
        <f ca="1">(1+VLOOKUP(YEAR(A225),'ÖNYP kalkulátor'!$E$15:$F$75,2,FALSE)+VLOOKUP(YEAR(A225),'ÖNYP kalkulátor'!$E$15:$I$75,5,FALSE))^(1/12)-1</f>
        <v>4.0741237836483535E-3</v>
      </c>
      <c r="U225" s="8">
        <f t="shared" ca="1" si="39"/>
        <v>89330.273138054006</v>
      </c>
      <c r="V225" s="14">
        <f t="shared" ca="1" si="40"/>
        <v>22015584.329675157</v>
      </c>
      <c r="W225" s="8">
        <f t="shared" ca="1" si="41"/>
        <v>12690413.840200743</v>
      </c>
    </row>
    <row r="226" spans="1:23" x14ac:dyDescent="0.2">
      <c r="A226" s="6">
        <f t="shared" ca="1" si="45"/>
        <v>52444</v>
      </c>
      <c r="B226" s="12">
        <f t="shared" ca="1" si="46"/>
        <v>8</v>
      </c>
      <c r="C226" s="7">
        <f ca="1">(YEAR(A226)-YEAR('ÖNYP kalkulátor'!$C$10))+(MONTH(CF!A226)-MONTH('ÖNYP kalkulátor'!$C$10)-1)/12</f>
        <v>62.166666666666664</v>
      </c>
      <c r="D226" s="4">
        <f ca="1">(1+VLOOKUP(YEAR(A226),'ÖNYP kalkulátor'!$E$15:$F$75,2,FALSE))^(1/12)-1</f>
        <v>2.4662697723036864E-3</v>
      </c>
      <c r="E226" s="4">
        <f t="shared" ca="1" si="37"/>
        <v>1.7390985808448565</v>
      </c>
      <c r="F226" s="8">
        <f t="shared" ca="1" si="38"/>
        <v>22015584.329675157</v>
      </c>
      <c r="G226" s="8">
        <v>10000</v>
      </c>
      <c r="H226" s="8">
        <v>250000</v>
      </c>
      <c r="I226" s="8">
        <v>500000</v>
      </c>
      <c r="J226" s="8">
        <v>750000</v>
      </c>
      <c r="K226" s="8"/>
      <c r="L226" s="4">
        <f ca="1">+IF('ÖNYP kalkulátor'!$C$16="nem",0,
IF(MONTH(A226)=1,VLOOKUP(YEAR(A226),'ÖNYP kalkulátor'!$E$15:$J$75,4),0))</f>
        <v>0</v>
      </c>
      <c r="M226" s="8">
        <f t="shared" ca="1" si="47"/>
        <v>52605.181592313042</v>
      </c>
      <c r="N226" s="8">
        <f t="shared" ca="1" si="48"/>
        <v>17535.060530771018</v>
      </c>
      <c r="O226" s="8">
        <f t="shared" ca="1" si="42"/>
        <v>561121.93698467256</v>
      </c>
      <c r="P226" s="8">
        <f t="shared" ca="1" si="43"/>
        <v>531999.49824497907</v>
      </c>
      <c r="Q226" s="8">
        <f t="shared" ca="1" si="44"/>
        <v>68466.888126470032</v>
      </c>
      <c r="R226" s="13">
        <v>150000</v>
      </c>
      <c r="S226" s="13">
        <f ca="1">MIN(IF(AND(MONTH(A226)=5,'ÖNYP kalkulátor'!$IU$6="igen"),(M226+N226)*12/(1+IF('ÖNYP kalkulátor'!$C$16="nem",0,VLOOKUP(YEAR(A226),'ÖNYP kalkulátor'!$E$15:$J$75,4)))*0.2,0),R226)</f>
        <v>0</v>
      </c>
      <c r="T226" s="4">
        <f ca="1">(1+VLOOKUP(YEAR(A226),'ÖNYP kalkulátor'!$E$15:$F$75,2,FALSE)+VLOOKUP(YEAR(A226),'ÖNYP kalkulátor'!$E$15:$I$75,5,FALSE))^(1/12)-1</f>
        <v>4.0741237836483535E-3</v>
      </c>
      <c r="U226" s="8">
        <f t="shared" ca="1" si="39"/>
        <v>89973.158305753997</v>
      </c>
      <c r="V226" s="14">
        <f t="shared" ca="1" si="40"/>
        <v>22174024.37610738</v>
      </c>
      <c r="W226" s="8">
        <f t="shared" ca="1" si="41"/>
        <v>12750297.550892835</v>
      </c>
    </row>
    <row r="227" spans="1:23" x14ac:dyDescent="0.2">
      <c r="A227" s="6">
        <f t="shared" ca="1" si="45"/>
        <v>52475</v>
      </c>
      <c r="B227" s="12">
        <f t="shared" ca="1" si="46"/>
        <v>9</v>
      </c>
      <c r="C227" s="7">
        <f ca="1">(YEAR(A227)-YEAR('ÖNYP kalkulátor'!$C$10))+(MONTH(CF!A227)-MONTH('ÖNYP kalkulátor'!$C$10)-1)/12</f>
        <v>62.25</v>
      </c>
      <c r="D227" s="4">
        <f ca="1">(1+VLOOKUP(YEAR(A227),'ÖNYP kalkulátor'!$E$15:$F$75,2,FALSE))^(1/12)-1</f>
        <v>2.4662697723036864E-3</v>
      </c>
      <c r="E227" s="4">
        <f t="shared" ca="1" si="37"/>
        <v>1.7433876671058504</v>
      </c>
      <c r="F227" s="8">
        <f t="shared" ca="1" si="38"/>
        <v>22174024.37610738</v>
      </c>
      <c r="G227" s="8">
        <v>10000</v>
      </c>
      <c r="H227" s="8">
        <v>250000</v>
      </c>
      <c r="I227" s="8">
        <v>500000</v>
      </c>
      <c r="J227" s="8">
        <v>750000</v>
      </c>
      <c r="K227" s="8"/>
      <c r="L227" s="4">
        <f ca="1">+IF('ÖNYP kalkulátor'!$C$16="nem",0,
IF(MONTH(A227)=1,VLOOKUP(YEAR(A227),'ÖNYP kalkulátor'!$E$15:$J$75,4),0))</f>
        <v>0</v>
      </c>
      <c r="M227" s="8">
        <f t="shared" ca="1" si="47"/>
        <v>52605.181592313042</v>
      </c>
      <c r="N227" s="8">
        <f t="shared" ca="1" si="48"/>
        <v>17535.060530771018</v>
      </c>
      <c r="O227" s="8">
        <f t="shared" ca="1" si="42"/>
        <v>631262.17910775659</v>
      </c>
      <c r="P227" s="8">
        <f t="shared" ca="1" si="43"/>
        <v>600736.9355256015</v>
      </c>
      <c r="Q227" s="8">
        <f t="shared" ca="1" si="44"/>
        <v>68737.437280622427</v>
      </c>
      <c r="R227" s="13">
        <v>150000</v>
      </c>
      <c r="S227" s="13">
        <f ca="1">MIN(IF(AND(MONTH(A227)=5,'ÖNYP kalkulátor'!$IU$6="igen"),(M227+N227)*12/(1+IF('ÖNYP kalkulátor'!$C$16="nem",0,VLOOKUP(YEAR(A227),'ÖNYP kalkulátor'!$E$15:$J$75,4)))*0.2,0),R227)</f>
        <v>0</v>
      </c>
      <c r="T227" s="4">
        <f ca="1">(1+VLOOKUP(YEAR(A227),'ÖNYP kalkulátor'!$E$15:$F$75,2,FALSE)+VLOOKUP(YEAR(A227),'ÖNYP kalkulátor'!$E$15:$I$75,5,FALSE))^(1/12)-1</f>
        <v>4.0741237836483535E-3</v>
      </c>
      <c r="U227" s="8">
        <f t="shared" ca="1" si="39"/>
        <v>90619.764917949433</v>
      </c>
      <c r="V227" s="14">
        <f t="shared" ca="1" si="40"/>
        <v>22333381.578305952</v>
      </c>
      <c r="W227" s="8">
        <f t="shared" ca="1" si="41"/>
        <v>12810335.876346413</v>
      </c>
    </row>
    <row r="228" spans="1:23" x14ac:dyDescent="0.2">
      <c r="A228" s="6">
        <f t="shared" ca="1" si="45"/>
        <v>52505</v>
      </c>
      <c r="B228" s="12">
        <f t="shared" ca="1" si="46"/>
        <v>10</v>
      </c>
      <c r="C228" s="7">
        <f ca="1">(YEAR(A228)-YEAR('ÖNYP kalkulátor'!$C$10))+(MONTH(CF!A228)-MONTH('ÖNYP kalkulátor'!$C$10)-1)/12</f>
        <v>62.333333333333336</v>
      </c>
      <c r="D228" s="4">
        <f ca="1">(1+VLOOKUP(YEAR(A228),'ÖNYP kalkulátor'!$E$15:$F$75,2,FALSE))^(1/12)-1</f>
        <v>2.4662697723036864E-3</v>
      </c>
      <c r="E228" s="4">
        <f t="shared" ca="1" si="37"/>
        <v>1.7476873314106405</v>
      </c>
      <c r="F228" s="8">
        <f t="shared" ca="1" si="38"/>
        <v>22333381.578305952</v>
      </c>
      <c r="G228" s="8">
        <v>10000</v>
      </c>
      <c r="H228" s="8">
        <v>250000</v>
      </c>
      <c r="I228" s="8">
        <v>500000</v>
      </c>
      <c r="J228" s="8">
        <v>750000</v>
      </c>
      <c r="K228" s="8"/>
      <c r="L228" s="4">
        <f ca="1">+IF('ÖNYP kalkulátor'!$C$16="nem",0,
IF(MONTH(A228)=1,VLOOKUP(YEAR(A228),'ÖNYP kalkulátor'!$E$15:$J$75,4),0))</f>
        <v>0</v>
      </c>
      <c r="M228" s="8">
        <f t="shared" ca="1" si="47"/>
        <v>52605.181592313042</v>
      </c>
      <c r="N228" s="8">
        <f t="shared" ca="1" si="48"/>
        <v>17535.060530771018</v>
      </c>
      <c r="O228" s="8">
        <f t="shared" ca="1" si="42"/>
        <v>701402.42123084061</v>
      </c>
      <c r="P228" s="8">
        <f t="shared" ca="1" si="43"/>
        <v>669474.37280622381</v>
      </c>
      <c r="Q228" s="8">
        <f t="shared" ca="1" si="44"/>
        <v>68737.437280622311</v>
      </c>
      <c r="R228" s="13">
        <v>150000</v>
      </c>
      <c r="S228" s="13">
        <f ca="1">MIN(IF(AND(MONTH(A228)=5,'ÖNYP kalkulátor'!$IU$6="igen"),(M228+N228)*12/(1+IF('ÖNYP kalkulátor'!$C$16="nem",0,VLOOKUP(YEAR(A228),'ÖNYP kalkulátor'!$E$15:$J$75,4)))*0.2,0),R228)</f>
        <v>0</v>
      </c>
      <c r="T228" s="4">
        <f ca="1">(1+VLOOKUP(YEAR(A228),'ÖNYP kalkulátor'!$E$15:$F$75,2,FALSE)+VLOOKUP(YEAR(A228),'ÖNYP kalkulátor'!$E$15:$I$75,5,FALSE))^(1/12)-1</f>
        <v>4.0741237836483535E-3</v>
      </c>
      <c r="U228" s="8">
        <f t="shared" ca="1" si="39"/>
        <v>91269.005885522303</v>
      </c>
      <c r="V228" s="14">
        <f t="shared" ca="1" si="40"/>
        <v>22493388.021472096</v>
      </c>
      <c r="W228" s="8">
        <f t="shared" ca="1" si="41"/>
        <v>12870373.102330968</v>
      </c>
    </row>
    <row r="229" spans="1:23" x14ac:dyDescent="0.2">
      <c r="A229" s="6">
        <f t="shared" ca="1" si="45"/>
        <v>52536</v>
      </c>
      <c r="B229" s="12">
        <f t="shared" ca="1" si="46"/>
        <v>11</v>
      </c>
      <c r="C229" s="7">
        <f ca="1">(YEAR(A229)-YEAR('ÖNYP kalkulátor'!$C$10))+(MONTH(CF!A229)-MONTH('ÖNYP kalkulátor'!$C$10)-1)/12</f>
        <v>62.416666666666664</v>
      </c>
      <c r="D229" s="4">
        <f ca="1">(1+VLOOKUP(YEAR(A229),'ÖNYP kalkulátor'!$E$15:$F$75,2,FALSE))^(1/12)-1</f>
        <v>2.4662697723036864E-3</v>
      </c>
      <c r="E229" s="4">
        <f t="shared" ca="1" si="37"/>
        <v>1.7519975998475366</v>
      </c>
      <c r="F229" s="8">
        <f t="shared" ca="1" si="38"/>
        <v>22493388.021472096</v>
      </c>
      <c r="G229" s="8">
        <v>10000</v>
      </c>
      <c r="H229" s="8">
        <v>250000</v>
      </c>
      <c r="I229" s="8">
        <v>500000</v>
      </c>
      <c r="J229" s="8">
        <v>750000</v>
      </c>
      <c r="K229" s="8"/>
      <c r="L229" s="4">
        <f ca="1">+IF('ÖNYP kalkulátor'!$C$16="nem",0,
IF(MONTH(A229)=1,VLOOKUP(YEAR(A229),'ÖNYP kalkulátor'!$E$15:$J$75,4),0))</f>
        <v>0</v>
      </c>
      <c r="M229" s="8">
        <f t="shared" ca="1" si="47"/>
        <v>52605.181592313042</v>
      </c>
      <c r="N229" s="8">
        <f t="shared" ca="1" si="48"/>
        <v>17535.060530771018</v>
      </c>
      <c r="O229" s="8">
        <f t="shared" ca="1" si="42"/>
        <v>771542.66335392464</v>
      </c>
      <c r="P229" s="8">
        <f t="shared" ca="1" si="43"/>
        <v>738534.95003715507</v>
      </c>
      <c r="Q229" s="8">
        <f t="shared" ca="1" si="44"/>
        <v>69060.57723093126</v>
      </c>
      <c r="R229" s="13">
        <v>150000</v>
      </c>
      <c r="S229" s="13">
        <f ca="1">MIN(IF(AND(MONTH(A229)=5,'ÖNYP kalkulátor'!$IU$6="igen"),(M229+N229)*12/(1+IF('ÖNYP kalkulátor'!$C$16="nem",0,VLOOKUP(YEAR(A229),'ÖNYP kalkulátor'!$E$15:$J$75,4)))*0.2,0),R229)</f>
        <v>0</v>
      </c>
      <c r="T229" s="4">
        <f ca="1">(1+VLOOKUP(YEAR(A229),'ÖNYP kalkulátor'!$E$15:$F$75,2,FALSE)+VLOOKUP(YEAR(A229),'ÖNYP kalkulátor'!$E$15:$I$75,5,FALSE))^(1/12)-1</f>
        <v>4.0741237836483535E-3</v>
      </c>
      <c r="U229" s="8">
        <f t="shared" ca="1" si="39"/>
        <v>91922.208453319472</v>
      </c>
      <c r="V229" s="14">
        <f t="shared" ca="1" si="40"/>
        <v>22654370.807156347</v>
      </c>
      <c r="W229" s="8">
        <f t="shared" ca="1" si="41"/>
        <v>12930594.658992564</v>
      </c>
    </row>
    <row r="230" spans="1:23" x14ac:dyDescent="0.2">
      <c r="A230" s="6">
        <f t="shared" ca="1" si="45"/>
        <v>52566</v>
      </c>
      <c r="B230" s="12">
        <f t="shared" ca="1" si="46"/>
        <v>12</v>
      </c>
      <c r="C230" s="7">
        <f ca="1">(YEAR(A230)-YEAR('ÖNYP kalkulátor'!$C$10))+(MONTH(CF!A230)-MONTH('ÖNYP kalkulátor'!$C$10)-1)/12</f>
        <v>62.5</v>
      </c>
      <c r="D230" s="4">
        <f ca="1">(1+VLOOKUP(YEAR(A230),'ÖNYP kalkulátor'!$E$15:$F$75,2,FALSE))^(1/12)-1</f>
        <v>2.4662697723036864E-3</v>
      </c>
      <c r="E230" s="4">
        <f t="shared" ca="1" si="37"/>
        <v>1.7563184985691891</v>
      </c>
      <c r="F230" s="8">
        <f t="shared" ca="1" si="38"/>
        <v>22654370.807156347</v>
      </c>
      <c r="G230" s="8">
        <v>10000</v>
      </c>
      <c r="H230" s="8">
        <v>250000</v>
      </c>
      <c r="I230" s="8">
        <v>500000</v>
      </c>
      <c r="J230" s="8">
        <v>750000</v>
      </c>
      <c r="K230" s="8"/>
      <c r="L230" s="4">
        <f ca="1">+IF('ÖNYP kalkulátor'!$C$16="nem",0,
IF(MONTH(A230)=1,VLOOKUP(YEAR(A230),'ÖNYP kalkulátor'!$E$15:$J$75,4),0))</f>
        <v>0</v>
      </c>
      <c r="M230" s="8">
        <f t="shared" ca="1" si="47"/>
        <v>52605.181592313042</v>
      </c>
      <c r="N230" s="8">
        <f t="shared" ca="1" si="48"/>
        <v>17535.060530771018</v>
      </c>
      <c r="O230" s="8">
        <f t="shared" ca="1" si="42"/>
        <v>841682.90547700867</v>
      </c>
      <c r="P230" s="8">
        <f t="shared" ca="1" si="43"/>
        <v>808324.49094962364</v>
      </c>
      <c r="Q230" s="8">
        <f t="shared" ca="1" si="44"/>
        <v>69789.540912468568</v>
      </c>
      <c r="R230" s="13">
        <v>150000</v>
      </c>
      <c r="S230" s="13">
        <f ca="1">MIN(IF(AND(MONTH(A230)=5,'ÖNYP kalkulátor'!$IU$6="igen"),(M230+N230)*12/(1+IF('ÖNYP kalkulátor'!$C$16="nem",0,VLOOKUP(YEAR(A230),'ÖNYP kalkulátor'!$E$15:$J$75,4)))*0.2,0),R230)</f>
        <v>0</v>
      </c>
      <c r="T230" s="4">
        <f ca="1">(1+VLOOKUP(YEAR(A230),'ÖNYP kalkulátor'!$E$15:$F$75,2,FALSE)+VLOOKUP(YEAR(A230),'ÖNYP kalkulátor'!$E$15:$I$75,5,FALSE))^(1/12)-1</f>
        <v>4.0741237836483535E-3</v>
      </c>
      <c r="U230" s="8">
        <f t="shared" ca="1" si="39"/>
        <v>92581.04213750601</v>
      </c>
      <c r="V230" s="14">
        <f t="shared" ca="1" si="40"/>
        <v>22816741.390206322</v>
      </c>
      <c r="W230" s="8">
        <f t="shared" ca="1" si="41"/>
        <v>12991232.176165268</v>
      </c>
    </row>
    <row r="231" spans="1:23" x14ac:dyDescent="0.2">
      <c r="A231" s="6">
        <f t="shared" ca="1" si="45"/>
        <v>52597</v>
      </c>
      <c r="B231" s="12">
        <f t="shared" ca="1" si="46"/>
        <v>1</v>
      </c>
      <c r="C231" s="7">
        <f ca="1">(YEAR(A231)-YEAR('ÖNYP kalkulátor'!$C$10))+(MONTH(CF!A231)-MONTH('ÖNYP kalkulátor'!$C$10)-1)/12</f>
        <v>62.583333333333336</v>
      </c>
      <c r="D231" s="4">
        <f ca="1">(1+VLOOKUP(YEAR(A231),'ÖNYP kalkulátor'!$E$15:$F$75,2,FALSE))^(1/12)-1</f>
        <v>2.4662697723036864E-3</v>
      </c>
      <c r="E231" s="4">
        <f t="shared" ref="E231:E294" ca="1" si="49">E230*(1+D230)</f>
        <v>1.7606500537927481</v>
      </c>
      <c r="F231" s="8">
        <f t="shared" ref="F231:F294" ca="1" si="50">+V230</f>
        <v>22816741.390206322</v>
      </c>
      <c r="G231" s="8">
        <v>10000</v>
      </c>
      <c r="H231" s="8">
        <v>250000</v>
      </c>
      <c r="I231" s="8">
        <v>500000</v>
      </c>
      <c r="J231" s="8">
        <v>750000</v>
      </c>
      <c r="K231" s="8"/>
      <c r="L231" s="4">
        <f ca="1">+IF('ÖNYP kalkulátor'!$C$16="nem",0,
IF(MONTH(A231)=1,VLOOKUP(YEAR(A231),'ÖNYP kalkulátor'!$E$15:$J$75,4),0))</f>
        <v>0.03</v>
      </c>
      <c r="M231" s="8">
        <f t="shared" ca="1" si="47"/>
        <v>54183.337040082435</v>
      </c>
      <c r="N231" s="8">
        <f t="shared" ca="1" si="48"/>
        <v>18061.11234669415</v>
      </c>
      <c r="O231" s="8">
        <f t="shared" ca="1" si="42"/>
        <v>72244.449386776585</v>
      </c>
      <c r="P231" s="8">
        <f t="shared" ca="1" si="43"/>
        <v>67509.782423569995</v>
      </c>
      <c r="Q231" s="8">
        <f t="shared" ca="1" si="44"/>
        <v>67509.782423569995</v>
      </c>
      <c r="R231" s="13">
        <v>150000</v>
      </c>
      <c r="S231" s="13">
        <f ca="1">MIN(IF(AND(MONTH(A231)=5,'ÖNYP kalkulátor'!$IU$6="igen"),(M231+N231)*12/(1+IF('ÖNYP kalkulátor'!$C$16="nem",0,VLOOKUP(YEAR(A231),'ÖNYP kalkulátor'!$E$15:$J$75,4)))*0.2,0),R231)</f>
        <v>0</v>
      </c>
      <c r="T231" s="4">
        <f ca="1">(1+VLOOKUP(YEAR(A231),'ÖNYP kalkulátor'!$E$15:$F$75,2,FALSE)+VLOOKUP(YEAR(A231),'ÖNYP kalkulátor'!$E$15:$I$75,5,FALSE))^(1/12)-1</f>
        <v>4.0741237836483535E-3</v>
      </c>
      <c r="U231" s="8">
        <f t="shared" ca="1" si="39"/>
        <v>93233.271973394163</v>
      </c>
      <c r="V231" s="14">
        <f t="shared" ca="1" si="40"/>
        <v>22977484.444603287</v>
      </c>
      <c r="W231" s="8">
        <f t="shared" ca="1" si="41"/>
        <v>13050568.677804977</v>
      </c>
    </row>
    <row r="232" spans="1:23" x14ac:dyDescent="0.2">
      <c r="A232" s="6">
        <f t="shared" ca="1" si="45"/>
        <v>52628</v>
      </c>
      <c r="B232" s="12">
        <f t="shared" ca="1" si="46"/>
        <v>2</v>
      </c>
      <c r="C232" s="7">
        <f ca="1">(YEAR(A232)-YEAR('ÖNYP kalkulátor'!$C$10))+(MONTH(CF!A232)-MONTH('ÖNYP kalkulátor'!$C$10)-1)/12</f>
        <v>62.666666666666664</v>
      </c>
      <c r="D232" s="4">
        <f ca="1">(1+VLOOKUP(YEAR(A232),'ÖNYP kalkulátor'!$E$15:$F$75,2,FALSE))^(1/12)-1</f>
        <v>2.4662697723036864E-3</v>
      </c>
      <c r="E232" s="4">
        <f t="shared" ca="1" si="49"/>
        <v>1.764992291800022</v>
      </c>
      <c r="F232" s="8">
        <f t="shared" ca="1" si="50"/>
        <v>22977484.444603287</v>
      </c>
      <c r="G232" s="8">
        <v>10000</v>
      </c>
      <c r="H232" s="8">
        <v>250000</v>
      </c>
      <c r="I232" s="8">
        <v>500000</v>
      </c>
      <c r="J232" s="8">
        <v>750000</v>
      </c>
      <c r="K232" s="8"/>
      <c r="L232" s="4">
        <f ca="1">+IF('ÖNYP kalkulátor'!$C$16="nem",0,
IF(MONTH(A232)=1,VLOOKUP(YEAR(A232),'ÖNYP kalkulátor'!$E$15:$J$75,4),0))</f>
        <v>0</v>
      </c>
      <c r="M232" s="8">
        <f t="shared" ca="1" si="47"/>
        <v>54183.337040082435</v>
      </c>
      <c r="N232" s="8">
        <f t="shared" ca="1" si="48"/>
        <v>18061.11234669415</v>
      </c>
      <c r="O232" s="8">
        <f t="shared" ca="1" si="42"/>
        <v>144488.89877355317</v>
      </c>
      <c r="P232" s="8">
        <f t="shared" ca="1" si="43"/>
        <v>135419.56484713999</v>
      </c>
      <c r="Q232" s="8">
        <f t="shared" ca="1" si="44"/>
        <v>67909.782423569995</v>
      </c>
      <c r="R232" s="13">
        <v>150000</v>
      </c>
      <c r="S232" s="13">
        <f ca="1">MIN(IF(AND(MONTH(A232)=5,'ÖNYP kalkulátor'!$IU$6="igen"),(M232+N232)*12/(1+IF('ÖNYP kalkulátor'!$C$16="nem",0,VLOOKUP(YEAR(A232),'ÖNYP kalkulátor'!$E$15:$J$75,4)))*0.2,0),R232)</f>
        <v>0</v>
      </c>
      <c r="T232" s="4">
        <f ca="1">(1+VLOOKUP(YEAR(A232),'ÖNYP kalkulátor'!$E$15:$F$75,2,FALSE)+VLOOKUP(YEAR(A232),'ÖNYP kalkulátor'!$E$15:$I$75,5,FALSE))^(1/12)-1</f>
        <v>4.0741237836483535E-3</v>
      </c>
      <c r="U232" s="8">
        <f t="shared" ca="1" si="39"/>
        <v>93889.788723882579</v>
      </c>
      <c r="V232" s="14">
        <f t="shared" ca="1" si="40"/>
        <v>23139284.01575074</v>
      </c>
      <c r="W232" s="8">
        <f t="shared" ca="1" si="41"/>
        <v>13110133.184860662</v>
      </c>
    </row>
    <row r="233" spans="1:23" x14ac:dyDescent="0.2">
      <c r="A233" s="6">
        <f t="shared" ca="1" si="45"/>
        <v>52657</v>
      </c>
      <c r="B233" s="12">
        <f t="shared" ca="1" si="46"/>
        <v>3</v>
      </c>
      <c r="C233" s="7">
        <f ca="1">(YEAR(A233)-YEAR('ÖNYP kalkulátor'!$C$10))+(MONTH(CF!A233)-MONTH('ÖNYP kalkulátor'!$C$10)-1)/12</f>
        <v>62.75</v>
      </c>
      <c r="D233" s="4">
        <f ca="1">(1+VLOOKUP(YEAR(A233),'ÖNYP kalkulátor'!$E$15:$F$75,2,FALSE))^(1/12)-1</f>
        <v>2.4662697723036864E-3</v>
      </c>
      <c r="E233" s="4">
        <f t="shared" ca="1" si="49"/>
        <v>1.7693452389376374</v>
      </c>
      <c r="F233" s="8">
        <f t="shared" ca="1" si="50"/>
        <v>23139284.01575074</v>
      </c>
      <c r="G233" s="8">
        <v>10000</v>
      </c>
      <c r="H233" s="8">
        <v>250000</v>
      </c>
      <c r="I233" s="8">
        <v>500000</v>
      </c>
      <c r="J233" s="8">
        <v>750000</v>
      </c>
      <c r="K233" s="8"/>
      <c r="L233" s="4">
        <f ca="1">+IF('ÖNYP kalkulátor'!$C$16="nem",0,
IF(MONTH(A233)=1,VLOOKUP(YEAR(A233),'ÖNYP kalkulátor'!$E$15:$J$75,4),0))</f>
        <v>0</v>
      </c>
      <c r="M233" s="8">
        <f t="shared" ca="1" si="47"/>
        <v>54183.337040082435</v>
      </c>
      <c r="N233" s="8">
        <f t="shared" ca="1" si="48"/>
        <v>18061.11234669415</v>
      </c>
      <c r="O233" s="8">
        <f t="shared" ca="1" si="42"/>
        <v>216733.34816032974</v>
      </c>
      <c r="P233" s="8">
        <f t="shared" ca="1" si="43"/>
        <v>203329.34727070996</v>
      </c>
      <c r="Q233" s="8">
        <f t="shared" ca="1" si="44"/>
        <v>67909.782423569966</v>
      </c>
      <c r="R233" s="13">
        <v>150000</v>
      </c>
      <c r="S233" s="13">
        <f ca="1">MIN(IF(AND(MONTH(A233)=5,'ÖNYP kalkulátor'!$IU$6="igen"),(M233+N233)*12/(1+IF('ÖNYP kalkulátor'!$C$16="nem",0,VLOOKUP(YEAR(A233),'ÖNYP kalkulátor'!$E$15:$J$75,4)))*0.2,0),R233)</f>
        <v>0</v>
      </c>
      <c r="T233" s="4">
        <f ca="1">(1+VLOOKUP(YEAR(A233),'ÖNYP kalkulátor'!$E$15:$F$75,2,FALSE)+VLOOKUP(YEAR(A233),'ÖNYP kalkulátor'!$E$15:$I$75,5,FALSE))^(1/12)-1</f>
        <v>4.0741237836483535E-3</v>
      </c>
      <c r="U233" s="8">
        <f t="shared" ca="1" si="39"/>
        <v>94548.98020487852</v>
      </c>
      <c r="V233" s="14">
        <f t="shared" ca="1" si="40"/>
        <v>23301742.778379191</v>
      </c>
      <c r="W233" s="8">
        <f t="shared" ca="1" si="41"/>
        <v>13169698.183024013</v>
      </c>
    </row>
    <row r="234" spans="1:23" x14ac:dyDescent="0.2">
      <c r="A234" s="6">
        <f t="shared" ca="1" si="45"/>
        <v>52688</v>
      </c>
      <c r="B234" s="12">
        <f t="shared" ca="1" si="46"/>
        <v>4</v>
      </c>
      <c r="C234" s="7">
        <f ca="1">(YEAR(A234)-YEAR('ÖNYP kalkulátor'!$C$10))+(MONTH(CF!A234)-MONTH('ÖNYP kalkulátor'!$C$10)-1)/12</f>
        <v>62.833333333333336</v>
      </c>
      <c r="D234" s="4">
        <f ca="1">(1+VLOOKUP(YEAR(A234),'ÖNYP kalkulátor'!$E$15:$F$75,2,FALSE))^(1/12)-1</f>
        <v>2.4662697723036864E-3</v>
      </c>
      <c r="E234" s="4">
        <f t="shared" ca="1" si="49"/>
        <v>1.7737089216171988</v>
      </c>
      <c r="F234" s="8">
        <f t="shared" ca="1" si="50"/>
        <v>23301742.778379191</v>
      </c>
      <c r="G234" s="8">
        <v>10000</v>
      </c>
      <c r="H234" s="8">
        <v>250000</v>
      </c>
      <c r="I234" s="8">
        <v>500000</v>
      </c>
      <c r="J234" s="8">
        <v>750000</v>
      </c>
      <c r="K234" s="8"/>
      <c r="L234" s="4">
        <f ca="1">+IF('ÖNYP kalkulátor'!$C$16="nem",0,
IF(MONTH(A234)=1,VLOOKUP(YEAR(A234),'ÖNYP kalkulátor'!$E$15:$J$75,4),0))</f>
        <v>0</v>
      </c>
      <c r="M234" s="8">
        <f t="shared" ca="1" si="47"/>
        <v>54183.337040082435</v>
      </c>
      <c r="N234" s="8">
        <f t="shared" ca="1" si="48"/>
        <v>18061.11234669415</v>
      </c>
      <c r="O234" s="8">
        <f t="shared" ca="1" si="42"/>
        <v>288977.79754710634</v>
      </c>
      <c r="P234" s="8">
        <f t="shared" ca="1" si="43"/>
        <v>271628.90766975103</v>
      </c>
      <c r="Q234" s="8">
        <f t="shared" ca="1" si="44"/>
        <v>68299.560399041075</v>
      </c>
      <c r="R234" s="13">
        <v>150000</v>
      </c>
      <c r="S234" s="13">
        <f ca="1">MIN(IF(AND(MONTH(A234)=5,'ÖNYP kalkulátor'!$IU$6="igen"),(M234+N234)*12/(1+IF('ÖNYP kalkulátor'!$C$16="nem",0,VLOOKUP(YEAR(A234),'ÖNYP kalkulátor'!$E$15:$J$75,4)))*0.2,0),R234)</f>
        <v>0</v>
      </c>
      <c r="T234" s="4">
        <f ca="1">(1+VLOOKUP(YEAR(A234),'ÖNYP kalkulátor'!$E$15:$F$75,2,FALSE)+VLOOKUP(YEAR(A234),'ÖNYP kalkulátor'!$E$15:$I$75,5,FALSE))^(1/12)-1</f>
        <v>4.0741237836483535E-3</v>
      </c>
      <c r="U234" s="8">
        <f t="shared" ca="1" si="39"/>
        <v>95212.445317285383</v>
      </c>
      <c r="V234" s="14">
        <f t="shared" ca="1" si="40"/>
        <v>23465254.784095518</v>
      </c>
      <c r="W234" s="8">
        <f t="shared" ca="1" si="41"/>
        <v>13229484.555279121</v>
      </c>
    </row>
    <row r="235" spans="1:23" x14ac:dyDescent="0.2">
      <c r="A235" s="6">
        <f t="shared" ca="1" si="45"/>
        <v>52718</v>
      </c>
      <c r="B235" s="12">
        <f t="shared" ca="1" si="46"/>
        <v>5</v>
      </c>
      <c r="C235" s="7">
        <f ca="1">(YEAR(A235)-YEAR('ÖNYP kalkulátor'!$C$10))+(MONTH(CF!A235)-MONTH('ÖNYP kalkulátor'!$C$10)-1)/12</f>
        <v>62.916666666666664</v>
      </c>
      <c r="D235" s="4">
        <f ca="1">(1+VLOOKUP(YEAR(A235),'ÖNYP kalkulátor'!$E$15:$F$75,2,FALSE))^(1/12)-1</f>
        <v>2.4662697723036864E-3</v>
      </c>
      <c r="E235" s="4">
        <f t="shared" ca="1" si="49"/>
        <v>1.7780833663154487</v>
      </c>
      <c r="F235" s="8">
        <f t="shared" ca="1" si="50"/>
        <v>23465254.784095518</v>
      </c>
      <c r="G235" s="8">
        <v>10000</v>
      </c>
      <c r="H235" s="8">
        <v>250000</v>
      </c>
      <c r="I235" s="8">
        <v>500000</v>
      </c>
      <c r="J235" s="8">
        <v>750000</v>
      </c>
      <c r="K235" s="8"/>
      <c r="L235" s="4">
        <f ca="1">+IF('ÖNYP kalkulátor'!$C$16="nem",0,
IF(MONTH(A235)=1,VLOOKUP(YEAR(A235),'ÖNYP kalkulátor'!$E$15:$J$75,4),0))</f>
        <v>0</v>
      </c>
      <c r="M235" s="8">
        <f t="shared" ca="1" si="47"/>
        <v>54183.337040082435</v>
      </c>
      <c r="N235" s="8">
        <f t="shared" ca="1" si="48"/>
        <v>18061.11234669415</v>
      </c>
      <c r="O235" s="8">
        <f t="shared" ca="1" si="42"/>
        <v>361222.24693388294</v>
      </c>
      <c r="P235" s="8">
        <f t="shared" ca="1" si="43"/>
        <v>340261.13458718878</v>
      </c>
      <c r="Q235" s="8">
        <f t="shared" ca="1" si="44"/>
        <v>68632.226917437743</v>
      </c>
      <c r="R235" s="13">
        <v>150000</v>
      </c>
      <c r="S235" s="13">
        <f ca="1">MIN(IF(AND(MONTH(A235)=5,'ÖNYP kalkulátor'!$IU$6="igen"),(M235+N235)*12/(1+IF('ÖNYP kalkulátor'!$C$16="nem",0,VLOOKUP(YEAR(A235),'ÖNYP kalkulátor'!$E$15:$J$75,4)))*0.2,0),R235)</f>
        <v>150000</v>
      </c>
      <c r="T235" s="4">
        <f ca="1">(1+VLOOKUP(YEAR(A235),'ÖNYP kalkulátor'!$E$15:$F$75,2,FALSE)+VLOOKUP(YEAR(A235),'ÖNYP kalkulátor'!$E$15:$I$75,5,FALSE))^(1/12)-1</f>
        <v>4.0741237836483535E-3</v>
      </c>
      <c r="U235" s="8">
        <f t="shared" ca="1" si="39"/>
        <v>96491.087360808204</v>
      </c>
      <c r="V235" s="14">
        <f t="shared" ca="1" si="40"/>
        <v>23780378.098373763</v>
      </c>
      <c r="W235" s="8">
        <f t="shared" ca="1" si="41"/>
        <v>13374163.747817716</v>
      </c>
    </row>
    <row r="236" spans="1:23" x14ac:dyDescent="0.2">
      <c r="A236" s="6">
        <f t="shared" ca="1" si="45"/>
        <v>52749</v>
      </c>
      <c r="B236" s="12">
        <f t="shared" ca="1" si="46"/>
        <v>6</v>
      </c>
      <c r="C236" s="7">
        <f ca="1">(YEAR(A236)-YEAR('ÖNYP kalkulátor'!$C$10))+(MONTH(CF!A236)-MONTH('ÖNYP kalkulátor'!$C$10)-1)/12</f>
        <v>63</v>
      </c>
      <c r="D236" s="4">
        <f ca="1">(1+VLOOKUP(YEAR(A236),'ÖNYP kalkulátor'!$E$15:$F$75,2,FALSE))^(1/12)-1</f>
        <v>2.4662697723036864E-3</v>
      </c>
      <c r="E236" s="4">
        <f t="shared" ca="1" si="49"/>
        <v>1.7824685995744285</v>
      </c>
      <c r="F236" s="8">
        <f t="shared" ca="1" si="50"/>
        <v>23780378.098373763</v>
      </c>
      <c r="G236" s="8">
        <v>10000</v>
      </c>
      <c r="H236" s="8">
        <v>250000</v>
      </c>
      <c r="I236" s="8">
        <v>500000</v>
      </c>
      <c r="J236" s="8">
        <v>750000</v>
      </c>
      <c r="K236" s="8"/>
      <c r="L236" s="4">
        <f ca="1">+IF('ÖNYP kalkulátor'!$C$16="nem",0,
IF(MONTH(A236)=1,VLOOKUP(YEAR(A236),'ÖNYP kalkulátor'!$E$15:$J$75,4),0))</f>
        <v>0</v>
      </c>
      <c r="M236" s="8">
        <f t="shared" ca="1" si="47"/>
        <v>54183.337040082435</v>
      </c>
      <c r="N236" s="8">
        <f t="shared" ca="1" si="48"/>
        <v>18061.11234669415</v>
      </c>
      <c r="O236" s="8">
        <f t="shared" ca="1" si="42"/>
        <v>433466.69632065954</v>
      </c>
      <c r="P236" s="8">
        <f t="shared" ca="1" si="43"/>
        <v>408893.36150462658</v>
      </c>
      <c r="Q236" s="8">
        <f t="shared" ca="1" si="44"/>
        <v>68632.226917437802</v>
      </c>
      <c r="R236" s="13">
        <v>150000</v>
      </c>
      <c r="S236" s="13">
        <f ca="1">MIN(IF(AND(MONTH(A236)=5,'ÖNYP kalkulátor'!$IU$6="igen"),(M236+N236)*12/(1+IF('ÖNYP kalkulátor'!$C$16="nem",0,VLOOKUP(YEAR(A236),'ÖNYP kalkulátor'!$E$15:$J$75,4)))*0.2,0),R236)</f>
        <v>0</v>
      </c>
      <c r="T236" s="4">
        <f ca="1">(1+VLOOKUP(YEAR(A236),'ÖNYP kalkulátor'!$E$15:$F$75,2,FALSE)+VLOOKUP(YEAR(A236),'ÖNYP kalkulátor'!$E$15:$I$75,5,FALSE))^(1/12)-1</f>
        <v>4.0741237836483535E-3</v>
      </c>
      <c r="U236" s="8">
        <f t="shared" ca="1" si="39"/>
        <v>97163.820182744035</v>
      </c>
      <c r="V236" s="14">
        <f t="shared" ca="1" si="40"/>
        <v>23946174.145473946</v>
      </c>
      <c r="W236" s="8">
        <f t="shared" ca="1" si="41"/>
        <v>13434275.448774353</v>
      </c>
    </row>
    <row r="237" spans="1:23" x14ac:dyDescent="0.2">
      <c r="A237" s="6">
        <f t="shared" ca="1" si="45"/>
        <v>52779</v>
      </c>
      <c r="B237" s="12">
        <f t="shared" ca="1" si="46"/>
        <v>7</v>
      </c>
      <c r="C237" s="7">
        <f ca="1">(YEAR(A237)-YEAR('ÖNYP kalkulátor'!$C$10))+(MONTH(CF!A237)-MONTH('ÖNYP kalkulátor'!$C$10)-1)/12</f>
        <v>63.083333333333336</v>
      </c>
      <c r="D237" s="4">
        <f ca="1">(1+VLOOKUP(YEAR(A237),'ÖNYP kalkulátor'!$E$15:$F$75,2,FALSE))^(1/12)-1</f>
        <v>2.4662697723036864E-3</v>
      </c>
      <c r="E237" s="4">
        <f t="shared" ca="1" si="49"/>
        <v>1.7868646480016395</v>
      </c>
      <c r="F237" s="8">
        <f t="shared" ca="1" si="50"/>
        <v>23946174.145473946</v>
      </c>
      <c r="G237" s="8">
        <v>10000</v>
      </c>
      <c r="H237" s="8">
        <v>250000</v>
      </c>
      <c r="I237" s="8">
        <v>500000</v>
      </c>
      <c r="J237" s="8">
        <v>750000</v>
      </c>
      <c r="K237" s="8"/>
      <c r="L237" s="4">
        <f ca="1">+IF('ÖNYP kalkulátor'!$C$16="nem",0,
IF(MONTH(A237)=1,VLOOKUP(YEAR(A237),'ÖNYP kalkulátor'!$E$15:$J$75,4),0))</f>
        <v>0</v>
      </c>
      <c r="M237" s="8">
        <f t="shared" ca="1" si="47"/>
        <v>54183.337040082435</v>
      </c>
      <c r="N237" s="8">
        <f t="shared" ca="1" si="48"/>
        <v>18061.11234669415</v>
      </c>
      <c r="O237" s="8">
        <f t="shared" ca="1" si="42"/>
        <v>505711.14570743614</v>
      </c>
      <c r="P237" s="8">
        <f t="shared" ca="1" si="43"/>
        <v>477696.92279328743</v>
      </c>
      <c r="Q237" s="8">
        <f t="shared" ca="1" si="44"/>
        <v>68803.561288660858</v>
      </c>
      <c r="R237" s="13">
        <v>150000</v>
      </c>
      <c r="S237" s="13">
        <f ca="1">MIN(IF(AND(MONTH(A237)=5,'ÖNYP kalkulátor'!$IU$6="igen"),(M237+N237)*12/(1+IF('ÖNYP kalkulátor'!$C$16="nem",0,VLOOKUP(YEAR(A237),'ÖNYP kalkulátor'!$E$15:$J$75,4)))*0.2,0),R237)</f>
        <v>0</v>
      </c>
      <c r="T237" s="4">
        <f ca="1">(1+VLOOKUP(YEAR(A237),'ÖNYP kalkulátor'!$E$15:$F$75,2,FALSE)+VLOOKUP(YEAR(A237),'ÖNYP kalkulátor'!$E$15:$I$75,5,FALSE))^(1/12)-1</f>
        <v>4.0741237836483535E-3</v>
      </c>
      <c r="U237" s="8">
        <f t="shared" ca="1" si="39"/>
        <v>97839.991838906542</v>
      </c>
      <c r="V237" s="14">
        <f t="shared" ca="1" si="40"/>
        <v>24112817.698601514</v>
      </c>
      <c r="W237" s="8">
        <f t="shared" ca="1" si="41"/>
        <v>13494484.725280317</v>
      </c>
    </row>
    <row r="238" spans="1:23" x14ac:dyDescent="0.2">
      <c r="A238" s="6">
        <f t="shared" ca="1" si="45"/>
        <v>52810</v>
      </c>
      <c r="B238" s="12">
        <f t="shared" ca="1" si="46"/>
        <v>8</v>
      </c>
      <c r="C238" s="7">
        <f ca="1">(YEAR(A238)-YEAR('ÖNYP kalkulátor'!$C$10))+(MONTH(CF!A238)-MONTH('ÖNYP kalkulátor'!$C$10)-1)/12</f>
        <v>63.166666666666664</v>
      </c>
      <c r="D238" s="4">
        <f ca="1">(1+VLOOKUP(YEAR(A238),'ÖNYP kalkulátor'!$E$15:$F$75,2,FALSE))^(1/12)-1</f>
        <v>2.4662697723036864E-3</v>
      </c>
      <c r="E238" s="4">
        <f t="shared" ca="1" si="49"/>
        <v>1.791271538270204</v>
      </c>
      <c r="F238" s="8">
        <f t="shared" ca="1" si="50"/>
        <v>24112817.698601514</v>
      </c>
      <c r="G238" s="8">
        <v>10000</v>
      </c>
      <c r="H238" s="8">
        <v>250000</v>
      </c>
      <c r="I238" s="8">
        <v>500000</v>
      </c>
      <c r="J238" s="8">
        <v>750000</v>
      </c>
      <c r="K238" s="8"/>
      <c r="L238" s="4">
        <f ca="1">+IF('ÖNYP kalkulátor'!$C$16="nem",0,
IF(MONTH(A238)=1,VLOOKUP(YEAR(A238),'ÖNYP kalkulátor'!$E$15:$J$75,4),0))</f>
        <v>0</v>
      </c>
      <c r="M238" s="8">
        <f t="shared" ca="1" si="47"/>
        <v>54183.337040082435</v>
      </c>
      <c r="N238" s="8">
        <f t="shared" ca="1" si="48"/>
        <v>18061.11234669415</v>
      </c>
      <c r="O238" s="8">
        <f t="shared" ca="1" si="42"/>
        <v>577955.59509421268</v>
      </c>
      <c r="P238" s="8">
        <f t="shared" ca="1" si="43"/>
        <v>548496.48319232836</v>
      </c>
      <c r="Q238" s="8">
        <f t="shared" ca="1" si="44"/>
        <v>70799.560399040929</v>
      </c>
      <c r="R238" s="13">
        <v>150000</v>
      </c>
      <c r="S238" s="13">
        <f ca="1">MIN(IF(AND(MONTH(A238)=5,'ÖNYP kalkulátor'!$IU$6="igen"),(M238+N238)*12/(1+IF('ÖNYP kalkulátor'!$C$16="nem",0,VLOOKUP(YEAR(A238),'ÖNYP kalkulátor'!$E$15:$J$75,4)))*0.2,0),R238)</f>
        <v>0</v>
      </c>
      <c r="T238" s="4">
        <f ca="1">(1+VLOOKUP(YEAR(A238),'ÖNYP kalkulátor'!$E$15:$F$75,2,FALSE)+VLOOKUP(YEAR(A238),'ÖNYP kalkulátor'!$E$15:$I$75,5,FALSE))^(1/12)-1</f>
        <v>4.0741237836483535E-3</v>
      </c>
      <c r="U238" s="8">
        <f t="shared" ca="1" si="39"/>
        <v>98527.050249542968</v>
      </c>
      <c r="V238" s="14">
        <f t="shared" ca="1" si="40"/>
        <v>24282144.309250098</v>
      </c>
      <c r="W238" s="8">
        <f t="shared" ca="1" si="41"/>
        <v>13555814.286369385</v>
      </c>
    </row>
    <row r="239" spans="1:23" x14ac:dyDescent="0.2">
      <c r="A239" s="6">
        <f t="shared" ca="1" si="45"/>
        <v>52841</v>
      </c>
      <c r="B239" s="12">
        <f t="shared" ca="1" si="46"/>
        <v>9</v>
      </c>
      <c r="C239" s="7">
        <f ca="1">(YEAR(A239)-YEAR('ÖNYP kalkulátor'!$C$10))+(MONTH(CF!A239)-MONTH('ÖNYP kalkulátor'!$C$10)-1)/12</f>
        <v>63.25</v>
      </c>
      <c r="D239" s="4">
        <f ca="1">(1+VLOOKUP(YEAR(A239),'ÖNYP kalkulátor'!$E$15:$F$75,2,FALSE))^(1/12)-1</f>
        <v>2.4662697723036864E-3</v>
      </c>
      <c r="E239" s="4">
        <f t="shared" ca="1" si="49"/>
        <v>1.7956892971190277</v>
      </c>
      <c r="F239" s="8">
        <f t="shared" ca="1" si="50"/>
        <v>24282144.309250098</v>
      </c>
      <c r="G239" s="8">
        <v>10000</v>
      </c>
      <c r="H239" s="8">
        <v>250000</v>
      </c>
      <c r="I239" s="8">
        <v>500000</v>
      </c>
      <c r="J239" s="8">
        <v>750000</v>
      </c>
      <c r="K239" s="8"/>
      <c r="L239" s="4">
        <f ca="1">+IF('ÖNYP kalkulátor'!$C$16="nem",0,
IF(MONTH(A239)=1,VLOOKUP(YEAR(A239),'ÖNYP kalkulátor'!$E$15:$J$75,4),0))</f>
        <v>0</v>
      </c>
      <c r="M239" s="8">
        <f t="shared" ca="1" si="47"/>
        <v>54183.337040082435</v>
      </c>
      <c r="N239" s="8">
        <f t="shared" ca="1" si="48"/>
        <v>18061.11234669415</v>
      </c>
      <c r="O239" s="8">
        <f t="shared" ca="1" si="42"/>
        <v>650200.04448098922</v>
      </c>
      <c r="P239" s="8">
        <f t="shared" ca="1" si="43"/>
        <v>619296.04359136941</v>
      </c>
      <c r="Q239" s="8">
        <f t="shared" ca="1" si="44"/>
        <v>70799.560399041045</v>
      </c>
      <c r="R239" s="13">
        <v>150000</v>
      </c>
      <c r="S239" s="13">
        <f ca="1">MIN(IF(AND(MONTH(A239)=5,'ÖNYP kalkulátor'!$IU$6="igen"),(M239+N239)*12/(1+IF('ÖNYP kalkulátor'!$C$16="nem",0,VLOOKUP(YEAR(A239),'ÖNYP kalkulátor'!$E$15:$J$75,4)))*0.2,0),R239)</f>
        <v>0</v>
      </c>
      <c r="T239" s="4">
        <f ca="1">(1+VLOOKUP(YEAR(A239),'ÖNYP kalkulátor'!$E$15:$F$75,2,FALSE)+VLOOKUP(YEAR(A239),'ÖNYP kalkulátor'!$E$15:$I$75,5,FALSE))^(1/12)-1</f>
        <v>4.0741237836483535E-3</v>
      </c>
      <c r="U239" s="8">
        <f t="shared" ca="1" si="39"/>
        <v>99216.907821190922</v>
      </c>
      <c r="V239" s="14">
        <f t="shared" ca="1" si="40"/>
        <v>24452160.777470328</v>
      </c>
      <c r="W239" s="8">
        <f t="shared" ca="1" si="41"/>
        <v>13617144.578798205</v>
      </c>
    </row>
    <row r="240" spans="1:23" x14ac:dyDescent="0.2">
      <c r="A240" s="6">
        <f t="shared" ca="1" si="45"/>
        <v>52871</v>
      </c>
      <c r="B240" s="12">
        <f t="shared" ca="1" si="46"/>
        <v>10</v>
      </c>
      <c r="C240" s="7">
        <f ca="1">(YEAR(A240)-YEAR('ÖNYP kalkulátor'!$C$10))+(MONTH(CF!A240)-MONTH('ÖNYP kalkulátor'!$C$10)-1)/12</f>
        <v>63.333333333333336</v>
      </c>
      <c r="D240" s="4">
        <f ca="1">(1+VLOOKUP(YEAR(A240),'ÖNYP kalkulátor'!$E$15:$F$75,2,FALSE))^(1/12)-1</f>
        <v>2.4662697723036864E-3</v>
      </c>
      <c r="E240" s="4">
        <f t="shared" ca="1" si="49"/>
        <v>1.8001179513529617</v>
      </c>
      <c r="F240" s="8">
        <f t="shared" ca="1" si="50"/>
        <v>24452160.777470328</v>
      </c>
      <c r="G240" s="8">
        <v>10000</v>
      </c>
      <c r="H240" s="8">
        <v>250000</v>
      </c>
      <c r="I240" s="8">
        <v>500000</v>
      </c>
      <c r="J240" s="8">
        <v>750000</v>
      </c>
      <c r="K240" s="8"/>
      <c r="L240" s="4">
        <f ca="1">+IF('ÖNYP kalkulátor'!$C$16="nem",0,
IF(MONTH(A240)=1,VLOOKUP(YEAR(A240),'ÖNYP kalkulátor'!$E$15:$J$75,4),0))</f>
        <v>0</v>
      </c>
      <c r="M240" s="8">
        <f t="shared" ca="1" si="47"/>
        <v>54183.337040082435</v>
      </c>
      <c r="N240" s="8">
        <f t="shared" ca="1" si="48"/>
        <v>18061.11234669415</v>
      </c>
      <c r="O240" s="8">
        <f t="shared" ca="1" si="42"/>
        <v>722444.49386776576</v>
      </c>
      <c r="P240" s="8">
        <f t="shared" ca="1" si="43"/>
        <v>690095.60399041045</v>
      </c>
      <c r="Q240" s="8">
        <f t="shared" ca="1" si="44"/>
        <v>70799.560399041045</v>
      </c>
      <c r="R240" s="13">
        <v>150000</v>
      </c>
      <c r="S240" s="13">
        <f ca="1">MIN(IF(AND(MONTH(A240)=5,'ÖNYP kalkulátor'!$IU$6="igen"),(M240+N240)*12/(1+IF('ÖNYP kalkulátor'!$C$16="nem",0,VLOOKUP(YEAR(A240),'ÖNYP kalkulátor'!$E$15:$J$75,4)))*0.2,0),R240)</f>
        <v>0</v>
      </c>
      <c r="T240" s="4">
        <f ca="1">(1+VLOOKUP(YEAR(A240),'ÖNYP kalkulátor'!$E$15:$F$75,2,FALSE)+VLOOKUP(YEAR(A240),'ÖNYP kalkulátor'!$E$15:$I$75,5,FALSE))^(1/12)-1</f>
        <v>4.0741237836483535E-3</v>
      </c>
      <c r="U240" s="8">
        <f t="shared" ca="1" si="39"/>
        <v>99909.575957978857</v>
      </c>
      <c r="V240" s="14">
        <f t="shared" ca="1" si="40"/>
        <v>24622869.913827349</v>
      </c>
      <c r="W240" s="8">
        <f t="shared" ca="1" si="41"/>
        <v>13678475.843941724</v>
      </c>
    </row>
    <row r="241" spans="1:23" x14ac:dyDescent="0.2">
      <c r="A241" s="6">
        <f t="shared" ca="1" si="45"/>
        <v>52902</v>
      </c>
      <c r="B241" s="12">
        <f t="shared" ca="1" si="46"/>
        <v>11</v>
      </c>
      <c r="C241" s="7">
        <f ca="1">(YEAR(A241)-YEAR('ÖNYP kalkulátor'!$C$10))+(MONTH(CF!A241)-MONTH('ÖNYP kalkulátor'!$C$10)-1)/12</f>
        <v>63.416666666666664</v>
      </c>
      <c r="D241" s="4">
        <f ca="1">(1+VLOOKUP(YEAR(A241),'ÖNYP kalkulátor'!$E$15:$F$75,2,FALSE))^(1/12)-1</f>
        <v>2.4662697723036864E-3</v>
      </c>
      <c r="E241" s="4">
        <f t="shared" ca="1" si="49"/>
        <v>1.8045575278429649</v>
      </c>
      <c r="F241" s="8">
        <f t="shared" ca="1" si="50"/>
        <v>24622869.913827349</v>
      </c>
      <c r="G241" s="8">
        <v>10000</v>
      </c>
      <c r="H241" s="8">
        <v>250000</v>
      </c>
      <c r="I241" s="8">
        <v>500000</v>
      </c>
      <c r="J241" s="8">
        <v>750000</v>
      </c>
      <c r="K241" s="8"/>
      <c r="L241" s="4">
        <f ca="1">+IF('ÖNYP kalkulátor'!$C$16="nem",0,
IF(MONTH(A241)=1,VLOOKUP(YEAR(A241),'ÖNYP kalkulátor'!$E$15:$J$75,4),0))</f>
        <v>0</v>
      </c>
      <c r="M241" s="8">
        <f t="shared" ca="1" si="47"/>
        <v>54183.337040082435</v>
      </c>
      <c r="N241" s="8">
        <f t="shared" ca="1" si="48"/>
        <v>18061.11234669415</v>
      </c>
      <c r="O241" s="8">
        <f t="shared" ca="1" si="42"/>
        <v>794688.9432545423</v>
      </c>
      <c r="P241" s="8">
        <f t="shared" ca="1" si="43"/>
        <v>761565.49853826954</v>
      </c>
      <c r="Q241" s="8">
        <f t="shared" ca="1" si="44"/>
        <v>71469.89454785909</v>
      </c>
      <c r="R241" s="13">
        <v>150000</v>
      </c>
      <c r="S241" s="13">
        <f ca="1">MIN(IF(AND(MONTH(A241)=5,'ÖNYP kalkulátor'!$IU$6="igen"),(M241+N241)*12/(1+IF('ÖNYP kalkulátor'!$C$16="nem",0,VLOOKUP(YEAR(A241),'ÖNYP kalkulátor'!$E$15:$J$75,4)))*0.2,0),R241)</f>
        <v>0</v>
      </c>
      <c r="T241" s="4">
        <f ca="1">(1+VLOOKUP(YEAR(A241),'ÖNYP kalkulátor'!$E$15:$F$75,2,FALSE)+VLOOKUP(YEAR(A241),'ÖNYP kalkulátor'!$E$15:$I$75,5,FALSE))^(1/12)-1</f>
        <v>4.0741237836483535E-3</v>
      </c>
      <c r="U241" s="8">
        <f t="shared" ca="1" si="39"/>
        <v>100607.79713479575</v>
      </c>
      <c r="V241" s="14">
        <f t="shared" ca="1" si="40"/>
        <v>24794947.60551</v>
      </c>
      <c r="W241" s="8">
        <f t="shared" ca="1" si="41"/>
        <v>13740181.303695014</v>
      </c>
    </row>
    <row r="242" spans="1:23" x14ac:dyDescent="0.2">
      <c r="A242" s="6">
        <f t="shared" ca="1" si="45"/>
        <v>52932</v>
      </c>
      <c r="B242" s="12">
        <f t="shared" ca="1" si="46"/>
        <v>12</v>
      </c>
      <c r="C242" s="7">
        <f ca="1">(YEAR(A242)-YEAR('ÖNYP kalkulátor'!$C$10))+(MONTH(CF!A242)-MONTH('ÖNYP kalkulátor'!$C$10)-1)/12</f>
        <v>63.5</v>
      </c>
      <c r="D242" s="4">
        <f ca="1">(1+VLOOKUP(YEAR(A242),'ÖNYP kalkulátor'!$E$15:$F$75,2,FALSE))^(1/12)-1</f>
        <v>2.4662697723036864E-3</v>
      </c>
      <c r="E242" s="4">
        <f t="shared" ca="1" si="49"/>
        <v>1.8090080535262669</v>
      </c>
      <c r="F242" s="8">
        <f t="shared" ca="1" si="50"/>
        <v>24794947.60551</v>
      </c>
      <c r="G242" s="8">
        <v>10000</v>
      </c>
      <c r="H242" s="8">
        <v>250000</v>
      </c>
      <c r="I242" s="8">
        <v>500000</v>
      </c>
      <c r="J242" s="8">
        <v>750000</v>
      </c>
      <c r="K242" s="8"/>
      <c r="L242" s="4">
        <f ca="1">+IF('ÖNYP kalkulátor'!$C$16="nem",0,
IF(MONTH(A242)=1,VLOOKUP(YEAR(A242),'ÖNYP kalkulátor'!$E$15:$J$75,4),0))</f>
        <v>0</v>
      </c>
      <c r="M242" s="8">
        <f t="shared" ca="1" si="47"/>
        <v>54183.337040082435</v>
      </c>
      <c r="N242" s="8">
        <f t="shared" ca="1" si="48"/>
        <v>18061.11234669415</v>
      </c>
      <c r="O242" s="8">
        <f t="shared" ca="1" si="42"/>
        <v>866933.39264131885</v>
      </c>
      <c r="P242" s="8">
        <f t="shared" ca="1" si="43"/>
        <v>833448.72567811224</v>
      </c>
      <c r="Q242" s="8">
        <f t="shared" ca="1" si="44"/>
        <v>71883.227139842696</v>
      </c>
      <c r="R242" s="13">
        <v>150000</v>
      </c>
      <c r="S242" s="13">
        <f ca="1">MIN(IF(AND(MONTH(A242)=5,'ÖNYP kalkulátor'!$IU$6="igen"),(M242+N242)*12/(1+IF('ÖNYP kalkulátor'!$C$16="nem",0,VLOOKUP(YEAR(A242),'ÖNYP kalkulátor'!$E$15:$J$75,4)))*0.2,0),R242)</f>
        <v>0</v>
      </c>
      <c r="T242" s="4">
        <f ca="1">(1+VLOOKUP(YEAR(A242),'ÖNYP kalkulátor'!$E$15:$F$75,2,FALSE)+VLOOKUP(YEAR(A242),'ÖNYP kalkulátor'!$E$15:$I$75,5,FALSE))^(1/12)-1</f>
        <v>4.0741237836483535E-3</v>
      </c>
      <c r="U242" s="8">
        <f t="shared" ca="1" si="39"/>
        <v>101310.54691925891</v>
      </c>
      <c r="V242" s="14">
        <f t="shared" ca="1" si="40"/>
        <v>24968141.379569102</v>
      </c>
      <c r="W242" s="8">
        <f t="shared" ca="1" si="41"/>
        <v>13802117.315563716</v>
      </c>
    </row>
    <row r="243" spans="1:23" x14ac:dyDescent="0.2">
      <c r="A243" s="6">
        <f t="shared" ca="1" si="45"/>
        <v>52963</v>
      </c>
      <c r="B243" s="12">
        <f t="shared" ca="1" si="46"/>
        <v>1</v>
      </c>
      <c r="C243" s="7">
        <f ca="1">(YEAR(A243)-YEAR('ÖNYP kalkulátor'!$C$10))+(MONTH(CF!A243)-MONTH('ÖNYP kalkulátor'!$C$10)-1)/12</f>
        <v>63.583333333333336</v>
      </c>
      <c r="D243" s="4">
        <f ca="1">(1+VLOOKUP(YEAR(A243),'ÖNYP kalkulátor'!$E$15:$F$75,2,FALSE))^(1/12)-1</f>
        <v>2.4662697723036864E-3</v>
      </c>
      <c r="E243" s="4">
        <f t="shared" ca="1" si="49"/>
        <v>1.8134695554065328</v>
      </c>
      <c r="F243" s="8">
        <f t="shared" ca="1" si="50"/>
        <v>24968141.379569102</v>
      </c>
      <c r="G243" s="8">
        <v>10000</v>
      </c>
      <c r="H243" s="8">
        <v>250000</v>
      </c>
      <c r="I243" s="8">
        <v>500000</v>
      </c>
      <c r="J243" s="8">
        <v>750000</v>
      </c>
      <c r="K243" s="8"/>
      <c r="L243" s="4">
        <f ca="1">+IF('ÖNYP kalkulátor'!$C$16="nem",0,
IF(MONTH(A243)=1,VLOOKUP(YEAR(A243),'ÖNYP kalkulátor'!$E$15:$J$75,4),0))</f>
        <v>0.03</v>
      </c>
      <c r="M243" s="8">
        <f t="shared" ca="1" si="47"/>
        <v>55808.837151284912</v>
      </c>
      <c r="N243" s="8">
        <f t="shared" ca="1" si="48"/>
        <v>18602.945717094975</v>
      </c>
      <c r="O243" s="8">
        <f t="shared" ca="1" si="42"/>
        <v>74411.782868379887</v>
      </c>
      <c r="P243" s="8">
        <f t="shared" ca="1" si="43"/>
        <v>69547.075896277092</v>
      </c>
      <c r="Q243" s="8">
        <f t="shared" ca="1" si="44"/>
        <v>69547.075896277092</v>
      </c>
      <c r="R243" s="13">
        <v>150000</v>
      </c>
      <c r="S243" s="13">
        <f ca="1">MIN(IF(AND(MONTH(A243)=5,'ÖNYP kalkulátor'!$IU$6="igen"),(M243+N243)*12/(1+IF('ÖNYP kalkulátor'!$C$16="nem",0,VLOOKUP(YEAR(A243),'ÖNYP kalkulátor'!$E$15:$J$75,4)))*0.2,0),R243)</f>
        <v>0</v>
      </c>
      <c r="T243" s="4">
        <f ca="1">(1+VLOOKUP(YEAR(A243),'ÖNYP kalkulátor'!$E$15:$F$75,2,FALSE)+VLOOKUP(YEAR(A243),'ÖNYP kalkulátor'!$E$15:$I$75,5,FALSE))^(1/12)-1</f>
        <v>4.0741237836483535E-3</v>
      </c>
      <c r="U243" s="8">
        <f t="shared" ca="1" si="39"/>
        <v>102006.64202398932</v>
      </c>
      <c r="V243" s="14">
        <f t="shared" ca="1" si="40"/>
        <v>25139695.097489368</v>
      </c>
      <c r="W243" s="8">
        <f t="shared" ca="1" si="41"/>
        <v>13862761.038661992</v>
      </c>
    </row>
    <row r="244" spans="1:23" x14ac:dyDescent="0.2">
      <c r="A244" s="6">
        <f t="shared" ca="1" si="45"/>
        <v>52994</v>
      </c>
      <c r="B244" s="12">
        <f t="shared" ca="1" si="46"/>
        <v>2</v>
      </c>
      <c r="C244" s="7">
        <f ca="1">(YEAR(A244)-YEAR('ÖNYP kalkulátor'!$C$10))+(MONTH(CF!A244)-MONTH('ÖNYP kalkulátor'!$C$10)-1)/12</f>
        <v>63.666666666666664</v>
      </c>
      <c r="D244" s="4">
        <f ca="1">(1+VLOOKUP(YEAR(A244),'ÖNYP kalkulátor'!$E$15:$F$75,2,FALSE))^(1/12)-1</f>
        <v>2.4662697723036864E-3</v>
      </c>
      <c r="E244" s="4">
        <f t="shared" ca="1" si="49"/>
        <v>1.8179420605540249</v>
      </c>
      <c r="F244" s="8">
        <f t="shared" ca="1" si="50"/>
        <v>25139695.097489368</v>
      </c>
      <c r="G244" s="8">
        <v>10000</v>
      </c>
      <c r="H244" s="8">
        <v>250000</v>
      </c>
      <c r="I244" s="8">
        <v>500000</v>
      </c>
      <c r="J244" s="8">
        <v>750000</v>
      </c>
      <c r="K244" s="8"/>
      <c r="L244" s="4">
        <f ca="1">+IF('ÖNYP kalkulátor'!$C$16="nem",0,
IF(MONTH(A244)=1,VLOOKUP(YEAR(A244),'ÖNYP kalkulátor'!$E$15:$J$75,4),0))</f>
        <v>0</v>
      </c>
      <c r="M244" s="8">
        <f t="shared" ca="1" si="47"/>
        <v>55808.837151284912</v>
      </c>
      <c r="N244" s="8">
        <f t="shared" ca="1" si="48"/>
        <v>18602.945717094975</v>
      </c>
      <c r="O244" s="8">
        <f t="shared" ca="1" si="42"/>
        <v>148823.56573675977</v>
      </c>
      <c r="P244" s="8">
        <f t="shared" ca="1" si="43"/>
        <v>139494.15179255418</v>
      </c>
      <c r="Q244" s="8">
        <f t="shared" ca="1" si="44"/>
        <v>69947.075896277092</v>
      </c>
      <c r="R244" s="13">
        <v>150000</v>
      </c>
      <c r="S244" s="13">
        <f ca="1">MIN(IF(AND(MONTH(A244)=5,'ÖNYP kalkulátor'!$IU$6="igen"),(M244+N244)*12/(1+IF('ÖNYP kalkulátor'!$C$16="nem",0,VLOOKUP(YEAR(A244),'ÖNYP kalkulátor'!$E$15:$J$75,4)))*0.2,0),R244)</f>
        <v>0</v>
      </c>
      <c r="T244" s="4">
        <f ca="1">(1+VLOOKUP(YEAR(A244),'ÖNYP kalkulátor'!$E$15:$F$75,2,FALSE)+VLOOKUP(YEAR(A244),'ÖNYP kalkulátor'!$E$15:$I$75,5,FALSE))^(1/12)-1</f>
        <v>4.0741237836483535E-3</v>
      </c>
      <c r="U244" s="8">
        <f t="shared" ca="1" si="39"/>
        <v>102707.20275585503</v>
      </c>
      <c r="V244" s="14">
        <f t="shared" ca="1" si="40"/>
        <v>25312349.3761415</v>
      </c>
      <c r="W244" s="8">
        <f t="shared" ca="1" si="41"/>
        <v>13923628.219717555</v>
      </c>
    </row>
    <row r="245" spans="1:23" x14ac:dyDescent="0.2">
      <c r="A245" s="6">
        <f t="shared" ca="1" si="45"/>
        <v>53022</v>
      </c>
      <c r="B245" s="12">
        <f t="shared" ca="1" si="46"/>
        <v>3</v>
      </c>
      <c r="C245" s="7">
        <f ca="1">(YEAR(A245)-YEAR('ÖNYP kalkulátor'!$C$10))+(MONTH(CF!A245)-MONTH('ÖNYP kalkulátor'!$C$10)-1)/12</f>
        <v>63.75</v>
      </c>
      <c r="D245" s="4">
        <f ca="1">(1+VLOOKUP(YEAR(A245),'ÖNYP kalkulátor'!$E$15:$F$75,2,FALSE))^(1/12)-1</f>
        <v>2.4662697723036864E-3</v>
      </c>
      <c r="E245" s="4">
        <f t="shared" ca="1" si="49"/>
        <v>1.8224255961057687</v>
      </c>
      <c r="F245" s="8">
        <f t="shared" ca="1" si="50"/>
        <v>25312349.3761415</v>
      </c>
      <c r="G245" s="8">
        <v>10000</v>
      </c>
      <c r="H245" s="8">
        <v>250000</v>
      </c>
      <c r="I245" s="8">
        <v>500000</v>
      </c>
      <c r="J245" s="8">
        <v>750000</v>
      </c>
      <c r="K245" s="8"/>
      <c r="L245" s="4">
        <f ca="1">+IF('ÖNYP kalkulátor'!$C$16="nem",0,
IF(MONTH(A245)=1,VLOOKUP(YEAR(A245),'ÖNYP kalkulátor'!$E$15:$J$75,4),0))</f>
        <v>0</v>
      </c>
      <c r="M245" s="8">
        <f t="shared" ca="1" si="47"/>
        <v>55808.837151284912</v>
      </c>
      <c r="N245" s="8">
        <f t="shared" ca="1" si="48"/>
        <v>18602.945717094975</v>
      </c>
      <c r="O245" s="8">
        <f t="shared" ca="1" si="42"/>
        <v>223235.34860513965</v>
      </c>
      <c r="P245" s="8">
        <f t="shared" ca="1" si="43"/>
        <v>209441.22768883125</v>
      </c>
      <c r="Q245" s="8">
        <f t="shared" ca="1" si="44"/>
        <v>69947.075896277063</v>
      </c>
      <c r="R245" s="13">
        <v>150000</v>
      </c>
      <c r="S245" s="13">
        <f ca="1">MIN(IF(AND(MONTH(A245)=5,'ÖNYP kalkulátor'!$IU$6="igen"),(M245+N245)*12/(1+IF('ÖNYP kalkulátor'!$C$16="nem",0,VLOOKUP(YEAR(A245),'ÖNYP kalkulátor'!$E$15:$J$75,4)))*0.2,0),R245)</f>
        <v>0</v>
      </c>
      <c r="T245" s="4">
        <f ca="1">(1+VLOOKUP(YEAR(A245),'ÖNYP kalkulátor'!$E$15:$F$75,2,FALSE)+VLOOKUP(YEAR(A245),'ÖNYP kalkulátor'!$E$15:$I$75,5,FALSE))^(1/12)-1</f>
        <v>4.0741237836483535E-3</v>
      </c>
      <c r="U245" s="8">
        <f t="shared" ca="1" si="39"/>
        <v>103410.61765886033</v>
      </c>
      <c r="V245" s="14">
        <f t="shared" ca="1" si="40"/>
        <v>25485707.069696639</v>
      </c>
      <c r="W245" s="8">
        <f t="shared" ca="1" si="41"/>
        <v>13984497.981237482</v>
      </c>
    </row>
    <row r="246" spans="1:23" x14ac:dyDescent="0.2">
      <c r="A246" s="6">
        <f t="shared" ca="1" si="45"/>
        <v>53053</v>
      </c>
      <c r="B246" s="12">
        <f t="shared" ca="1" si="46"/>
        <v>4</v>
      </c>
      <c r="C246" s="7">
        <f ca="1">(YEAR(A246)-YEAR('ÖNYP kalkulátor'!$C$10))+(MONTH(CF!A246)-MONTH('ÖNYP kalkulátor'!$C$10)-1)/12</f>
        <v>63.833333333333336</v>
      </c>
      <c r="D246" s="4">
        <f ca="1">(1+VLOOKUP(YEAR(A246),'ÖNYP kalkulátor'!$E$15:$F$75,2,FALSE))^(1/12)-1</f>
        <v>2.4662697723036864E-3</v>
      </c>
      <c r="E246" s="4">
        <f t="shared" ca="1" si="49"/>
        <v>1.826920189265717</v>
      </c>
      <c r="F246" s="8">
        <f t="shared" ca="1" si="50"/>
        <v>25485707.069696639</v>
      </c>
      <c r="G246" s="8">
        <v>10000</v>
      </c>
      <c r="H246" s="8">
        <v>250000</v>
      </c>
      <c r="I246" s="8">
        <v>500000</v>
      </c>
      <c r="J246" s="8">
        <v>750000</v>
      </c>
      <c r="K246" s="8"/>
      <c r="L246" s="4">
        <f ca="1">+IF('ÖNYP kalkulátor'!$C$16="nem",0,
IF(MONTH(A246)=1,VLOOKUP(YEAR(A246),'ÖNYP kalkulátor'!$E$15:$J$75,4),0))</f>
        <v>0</v>
      </c>
      <c r="M246" s="8">
        <f t="shared" ca="1" si="47"/>
        <v>55808.837151284912</v>
      </c>
      <c r="N246" s="8">
        <f t="shared" ca="1" si="48"/>
        <v>18602.945717094975</v>
      </c>
      <c r="O246" s="8">
        <f t="shared" ca="1" si="42"/>
        <v>297647.13147351955</v>
      </c>
      <c r="P246" s="8">
        <f t="shared" ca="1" si="43"/>
        <v>279864.77489984356</v>
      </c>
      <c r="Q246" s="8">
        <f t="shared" ca="1" si="44"/>
        <v>70423.547211012308</v>
      </c>
      <c r="R246" s="13">
        <v>150000</v>
      </c>
      <c r="S246" s="13">
        <f ca="1">MIN(IF(AND(MONTH(A246)=5,'ÖNYP kalkulátor'!$IU$6="igen"),(M246+N246)*12/(1+IF('ÖNYP kalkulátor'!$C$16="nem",0,VLOOKUP(YEAR(A246),'ÖNYP kalkulátor'!$E$15:$J$75,4)))*0.2,0),R246)</f>
        <v>0</v>
      </c>
      <c r="T246" s="4">
        <f ca="1">(1+VLOOKUP(YEAR(A246),'ÖNYP kalkulátor'!$E$15:$F$75,2,FALSE)+VLOOKUP(YEAR(A246),'ÖNYP kalkulátor'!$E$15:$I$75,5,FALSE))^(1/12)-1</f>
        <v>4.0741237836483535E-3</v>
      </c>
      <c r="U246" s="8">
        <f t="shared" ca="1" si="39"/>
        <v>104118.83956436733</v>
      </c>
      <c r="V246" s="14">
        <f t="shared" ca="1" si="40"/>
        <v>25660249.456472021</v>
      </c>
      <c r="W246" s="8">
        <f t="shared" ca="1" si="41"/>
        <v>14045632.429507218</v>
      </c>
    </row>
    <row r="247" spans="1:23" x14ac:dyDescent="0.2">
      <c r="A247" s="6">
        <f t="shared" ca="1" si="45"/>
        <v>53083</v>
      </c>
      <c r="B247" s="12">
        <f t="shared" ca="1" si="46"/>
        <v>5</v>
      </c>
      <c r="C247" s="7">
        <f ca="1">(YEAR(A247)-YEAR('ÖNYP kalkulátor'!$C$10))+(MONTH(CF!A247)-MONTH('ÖNYP kalkulátor'!$C$10)-1)/12</f>
        <v>63.916666666666664</v>
      </c>
      <c r="D247" s="4">
        <f ca="1">(1+VLOOKUP(YEAR(A247),'ÖNYP kalkulátor'!$E$15:$F$75,2,FALSE))^(1/12)-1</f>
        <v>2.4662697723036864E-3</v>
      </c>
      <c r="E247" s="4">
        <f t="shared" ca="1" si="49"/>
        <v>1.8314258673049144</v>
      </c>
      <c r="F247" s="8">
        <f t="shared" ca="1" si="50"/>
        <v>25660249.456472021</v>
      </c>
      <c r="G247" s="8">
        <v>10000</v>
      </c>
      <c r="H247" s="8">
        <v>250000</v>
      </c>
      <c r="I247" s="8">
        <v>500000</v>
      </c>
      <c r="J247" s="8">
        <v>750000</v>
      </c>
      <c r="K247" s="8"/>
      <c r="L247" s="4">
        <f ca="1">+IF('ÖNYP kalkulátor'!$C$16="nem",0,
IF(MONTH(A247)=1,VLOOKUP(YEAR(A247),'ÖNYP kalkulátor'!$E$15:$J$75,4),0))</f>
        <v>0</v>
      </c>
      <c r="M247" s="8">
        <f t="shared" ca="1" si="47"/>
        <v>55808.837151284912</v>
      </c>
      <c r="N247" s="8">
        <f t="shared" ca="1" si="48"/>
        <v>18602.945717094975</v>
      </c>
      <c r="O247" s="8">
        <f t="shared" ca="1" si="42"/>
        <v>372058.91434189945</v>
      </c>
      <c r="P247" s="8">
        <f t="shared" ca="1" si="43"/>
        <v>350555.96862480446</v>
      </c>
      <c r="Q247" s="8">
        <f t="shared" ca="1" si="44"/>
        <v>70691.193724960904</v>
      </c>
      <c r="R247" s="13">
        <v>150000</v>
      </c>
      <c r="S247" s="13">
        <f ca="1">MIN(IF(AND(MONTH(A247)=5,'ÖNYP kalkulátor'!$IU$6="igen"),(M247+N247)*12/(1+IF('ÖNYP kalkulátor'!$C$16="nem",0,VLOOKUP(YEAR(A247),'ÖNYP kalkulátor'!$E$15:$J$75,4)))*0.2,0),R247)</f>
        <v>150000</v>
      </c>
      <c r="T247" s="4">
        <f ca="1">(1+VLOOKUP(YEAR(A247),'ÖNYP kalkulátor'!$E$15:$F$75,2,FALSE)+VLOOKUP(YEAR(A247),'ÖNYP kalkulátor'!$E$15:$I$75,5,FALSE))^(1/12)-1</f>
        <v>4.0741237836483535E-3</v>
      </c>
      <c r="U247" s="8">
        <f t="shared" ca="1" si="39"/>
        <v>105442.155846159</v>
      </c>
      <c r="V247" s="14">
        <f t="shared" ca="1" si="40"/>
        <v>25986382.806043141</v>
      </c>
      <c r="W247" s="8">
        <f t="shared" ca="1" si="41"/>
        <v>14189153.527837915</v>
      </c>
    </row>
    <row r="248" spans="1:23" x14ac:dyDescent="0.2">
      <c r="A248" s="6">
        <f t="shared" ca="1" si="45"/>
        <v>53114</v>
      </c>
      <c r="B248" s="12">
        <f t="shared" ca="1" si="46"/>
        <v>6</v>
      </c>
      <c r="C248" s="7">
        <f ca="1">(YEAR(A248)-YEAR('ÖNYP kalkulátor'!$C$10))+(MONTH(CF!A248)-MONTH('ÖNYP kalkulátor'!$C$10)-1)/12</f>
        <v>64</v>
      </c>
      <c r="D248" s="4">
        <f ca="1">(1+VLOOKUP(YEAR(A248),'ÖNYP kalkulátor'!$E$15:$F$75,2,FALSE))^(1/12)-1</f>
        <v>2.4662697723036864E-3</v>
      </c>
      <c r="E248" s="4">
        <f t="shared" ca="1" si="49"/>
        <v>1.8359426575616635</v>
      </c>
      <c r="F248" s="8">
        <f t="shared" ca="1" si="50"/>
        <v>25986382.806043141</v>
      </c>
      <c r="G248" s="8">
        <v>10000</v>
      </c>
      <c r="H248" s="8">
        <v>250000</v>
      </c>
      <c r="I248" s="8">
        <v>500000</v>
      </c>
      <c r="J248" s="8">
        <v>750000</v>
      </c>
      <c r="K248" s="8"/>
      <c r="L248" s="4">
        <f ca="1">+IF('ÖNYP kalkulátor'!$C$16="nem",0,
IF(MONTH(A248)=1,VLOOKUP(YEAR(A248),'ÖNYP kalkulátor'!$E$15:$J$75,4),0))</f>
        <v>0</v>
      </c>
      <c r="M248" s="8">
        <f t="shared" ca="1" si="47"/>
        <v>55808.837151284912</v>
      </c>
      <c r="N248" s="8">
        <f t="shared" ca="1" si="48"/>
        <v>18602.945717094975</v>
      </c>
      <c r="O248" s="8">
        <f t="shared" ca="1" si="42"/>
        <v>446470.69721027935</v>
      </c>
      <c r="P248" s="8">
        <f t="shared" ca="1" si="43"/>
        <v>421247.16234976536</v>
      </c>
      <c r="Q248" s="8">
        <f t="shared" ca="1" si="44"/>
        <v>70691.193724960904</v>
      </c>
      <c r="R248" s="13">
        <v>150000</v>
      </c>
      <c r="S248" s="13">
        <f ca="1">MIN(IF(AND(MONTH(A248)=5,'ÖNYP kalkulátor'!$IU$6="igen"),(M248+N248)*12/(1+IF('ÖNYP kalkulátor'!$C$16="nem",0,VLOOKUP(YEAR(A248),'ÖNYP kalkulátor'!$E$15:$J$75,4)))*0.2,0),R248)</f>
        <v>0</v>
      </c>
      <c r="T248" s="4">
        <f ca="1">(1+VLOOKUP(YEAR(A248),'ÖNYP kalkulátor'!$E$15:$F$75,2,FALSE)+VLOOKUP(YEAR(A248),'ÖNYP kalkulátor'!$E$15:$I$75,5,FALSE))^(1/12)-1</f>
        <v>4.0741237836483535E-3</v>
      </c>
      <c r="U248" s="8">
        <f t="shared" ca="1" si="39"/>
        <v>106159.74491474035</v>
      </c>
      <c r="V248" s="14">
        <f t="shared" ca="1" si="40"/>
        <v>26163233.744682841</v>
      </c>
      <c r="W248" s="8">
        <f t="shared" ca="1" si="41"/>
        <v>14250572.389570452</v>
      </c>
    </row>
    <row r="249" spans="1:23" x14ac:dyDescent="0.2">
      <c r="A249" s="6">
        <f t="shared" ca="1" si="45"/>
        <v>53144</v>
      </c>
      <c r="B249" s="12">
        <f t="shared" ca="1" si="46"/>
        <v>7</v>
      </c>
      <c r="C249" s="7">
        <f ca="1">(YEAR(A249)-YEAR('ÖNYP kalkulátor'!$C$10))+(MONTH(CF!A249)-MONTH('ÖNYP kalkulátor'!$C$10)-1)/12</f>
        <v>64.083333333333329</v>
      </c>
      <c r="D249" s="4">
        <f ca="1">(1+VLOOKUP(YEAR(A249),'ÖNYP kalkulátor'!$E$15:$F$75,2,FALSE))^(1/12)-1</f>
        <v>2.4662697723036864E-3</v>
      </c>
      <c r="E249" s="4">
        <f t="shared" ca="1" si="49"/>
        <v>1.8404705874416907</v>
      </c>
      <c r="F249" s="8">
        <f t="shared" ca="1" si="50"/>
        <v>26163233.744682841</v>
      </c>
      <c r="G249" s="8">
        <v>10000</v>
      </c>
      <c r="H249" s="8">
        <v>250000</v>
      </c>
      <c r="I249" s="8">
        <v>500000</v>
      </c>
      <c r="J249" s="8">
        <v>750000</v>
      </c>
      <c r="K249" s="8"/>
      <c r="L249" s="4">
        <f ca="1">+IF('ÖNYP kalkulátor'!$C$16="nem",0,
IF(MONTH(A249)=1,VLOOKUP(YEAR(A249),'ÖNYP kalkulátor'!$E$15:$J$75,4),0))</f>
        <v>0</v>
      </c>
      <c r="M249" s="8">
        <f t="shared" ca="1" si="47"/>
        <v>55808.837151284912</v>
      </c>
      <c r="N249" s="8">
        <f t="shared" ca="1" si="48"/>
        <v>18602.945717094975</v>
      </c>
      <c r="O249" s="8">
        <f t="shared" ca="1" si="42"/>
        <v>520882.48007865925</v>
      </c>
      <c r="P249" s="8">
        <f t="shared" ca="1" si="43"/>
        <v>492564.83047708607</v>
      </c>
      <c r="Q249" s="8">
        <f t="shared" ca="1" si="44"/>
        <v>71317.668127320707</v>
      </c>
      <c r="R249" s="13">
        <v>150000</v>
      </c>
      <c r="S249" s="13">
        <f ca="1">MIN(IF(AND(MONTH(A249)=5,'ÖNYP kalkulátor'!$IU$6="igen"),(M249+N249)*12/(1+IF('ÖNYP kalkulátor'!$C$16="nem",0,VLOOKUP(YEAR(A249),'ÖNYP kalkulátor'!$E$15:$J$75,4)))*0.2,0),R249)</f>
        <v>0</v>
      </c>
      <c r="T249" s="4">
        <f ca="1">(1+VLOOKUP(YEAR(A249),'ÖNYP kalkulátor'!$E$15:$F$75,2,FALSE)+VLOOKUP(YEAR(A249),'ÖNYP kalkulátor'!$E$15:$I$75,5,FALSE))^(1/12)-1</f>
        <v>4.0741237836483535E-3</v>
      </c>
      <c r="U249" s="8">
        <f t="shared" ca="1" si="39"/>
        <v>106882.80986427539</v>
      </c>
      <c r="V249" s="14">
        <f t="shared" ca="1" si="40"/>
        <v>26341434.222674437</v>
      </c>
      <c r="W249" s="8">
        <f t="shared" ca="1" si="41"/>
        <v>14312336.422224395</v>
      </c>
    </row>
    <row r="250" spans="1:23" x14ac:dyDescent="0.2">
      <c r="A250" s="6">
        <f t="shared" ca="1" si="45"/>
        <v>53175</v>
      </c>
      <c r="B250" s="12">
        <f t="shared" ca="1" si="46"/>
        <v>8</v>
      </c>
      <c r="C250" s="7">
        <f ca="1">(YEAR(A250)-YEAR('ÖNYP kalkulátor'!$C$10))+(MONTH(CF!A250)-MONTH('ÖNYP kalkulátor'!$C$10)-1)/12</f>
        <v>64.166666666666671</v>
      </c>
      <c r="D250" s="4">
        <f ca="1">(1+VLOOKUP(YEAR(A250),'ÖNYP kalkulátor'!$E$15:$F$75,2,FALSE))^(1/12)-1</f>
        <v>2.4662697723036864E-3</v>
      </c>
      <c r="E250" s="4">
        <f t="shared" ca="1" si="49"/>
        <v>1.8450096844183121</v>
      </c>
      <c r="F250" s="8">
        <f t="shared" ca="1" si="50"/>
        <v>26341434.222674437</v>
      </c>
      <c r="G250" s="8">
        <v>10000</v>
      </c>
      <c r="H250" s="8">
        <v>250000</v>
      </c>
      <c r="I250" s="8">
        <v>500000</v>
      </c>
      <c r="J250" s="8">
        <v>750000</v>
      </c>
      <c r="K250" s="8"/>
      <c r="L250" s="4">
        <f ca="1">+IF('ÖNYP kalkulátor'!$C$16="nem",0,
IF(MONTH(A250)=1,VLOOKUP(YEAR(A250),'ÖNYP kalkulátor'!$E$15:$J$75,4),0))</f>
        <v>0</v>
      </c>
      <c r="M250" s="8">
        <f t="shared" ca="1" si="47"/>
        <v>55808.837151284912</v>
      </c>
      <c r="N250" s="8">
        <f t="shared" ca="1" si="48"/>
        <v>18602.945717094975</v>
      </c>
      <c r="O250" s="8">
        <f t="shared" ca="1" si="42"/>
        <v>595294.2629470391</v>
      </c>
      <c r="P250" s="8">
        <f t="shared" ca="1" si="43"/>
        <v>565488.37768809835</v>
      </c>
      <c r="Q250" s="8">
        <f t="shared" ca="1" si="44"/>
        <v>72923.547211012279</v>
      </c>
      <c r="R250" s="13">
        <v>150000</v>
      </c>
      <c r="S250" s="13">
        <f ca="1">MIN(IF(AND(MONTH(A250)=5,'ÖNYP kalkulátor'!$IU$6="igen"),(M250+N250)*12/(1+IF('ÖNYP kalkulátor'!$C$16="nem",0,VLOOKUP(YEAR(A250),'ÖNYP kalkulátor'!$E$15:$J$75,4)))*0.2,0),R250)</f>
        <v>0</v>
      </c>
      <c r="T250" s="4">
        <f ca="1">(1+VLOOKUP(YEAR(A250),'ÖNYP kalkulátor'!$E$15:$F$75,2,FALSE)+VLOOKUP(YEAR(A250),'ÖNYP kalkulátor'!$E$15:$I$75,5,FALSE))^(1/12)-1</f>
        <v>4.0741237836483535E-3</v>
      </c>
      <c r="U250" s="8">
        <f t="shared" ca="1" si="39"/>
        <v>107615.36322008699</v>
      </c>
      <c r="V250" s="14">
        <f t="shared" ca="1" si="40"/>
        <v>26521973.133105539</v>
      </c>
      <c r="W250" s="8">
        <f t="shared" ca="1" si="41"/>
        <v>14374977.734313242</v>
      </c>
    </row>
    <row r="251" spans="1:23" x14ac:dyDescent="0.2">
      <c r="A251" s="6">
        <f t="shared" ca="1" si="45"/>
        <v>53206</v>
      </c>
      <c r="B251" s="12">
        <f t="shared" ca="1" si="46"/>
        <v>9</v>
      </c>
      <c r="C251" s="7">
        <f ca="1">(YEAR(A251)-YEAR('ÖNYP kalkulátor'!$C$10))+(MONTH(CF!A251)-MONTH('ÖNYP kalkulátor'!$C$10)-1)/12</f>
        <v>64.25</v>
      </c>
      <c r="D251" s="4">
        <f ca="1">(1+VLOOKUP(YEAR(A251),'ÖNYP kalkulátor'!$E$15:$F$75,2,FALSE))^(1/12)-1</f>
        <v>2.4662697723036864E-3</v>
      </c>
      <c r="E251" s="4">
        <f t="shared" ca="1" si="49"/>
        <v>1.8495599760326007</v>
      </c>
      <c r="F251" s="8">
        <f t="shared" ca="1" si="50"/>
        <v>26521973.133105539</v>
      </c>
      <c r="G251" s="8">
        <v>10000</v>
      </c>
      <c r="H251" s="8">
        <v>250000</v>
      </c>
      <c r="I251" s="8">
        <v>500000</v>
      </c>
      <c r="J251" s="8">
        <v>750000</v>
      </c>
      <c r="K251" s="8"/>
      <c r="L251" s="4">
        <f ca="1">+IF('ÖNYP kalkulátor'!$C$16="nem",0,
IF(MONTH(A251)=1,VLOOKUP(YEAR(A251),'ÖNYP kalkulátor'!$E$15:$J$75,4),0))</f>
        <v>0</v>
      </c>
      <c r="M251" s="8">
        <f t="shared" ca="1" si="47"/>
        <v>55808.837151284912</v>
      </c>
      <c r="N251" s="8">
        <f t="shared" ca="1" si="48"/>
        <v>18602.945717094975</v>
      </c>
      <c r="O251" s="8">
        <f t="shared" ca="1" si="42"/>
        <v>669706.04581541894</v>
      </c>
      <c r="P251" s="8">
        <f t="shared" ca="1" si="43"/>
        <v>638411.92489911057</v>
      </c>
      <c r="Q251" s="8">
        <f t="shared" ca="1" si="44"/>
        <v>72923.547211012221</v>
      </c>
      <c r="R251" s="13">
        <v>150000</v>
      </c>
      <c r="S251" s="13">
        <f ca="1">MIN(IF(AND(MONTH(A251)=5,'ÖNYP kalkulátor'!$IU$6="igen"),(M251+N251)*12/(1+IF('ÖNYP kalkulátor'!$C$16="nem",0,VLOOKUP(YEAR(A251),'ÖNYP kalkulátor'!$E$15:$J$75,4)))*0.2,0),R251)</f>
        <v>0</v>
      </c>
      <c r="T251" s="4">
        <f ca="1">(1+VLOOKUP(YEAR(A251),'ÖNYP kalkulátor'!$E$15:$F$75,2,FALSE)+VLOOKUP(YEAR(A251),'ÖNYP kalkulátor'!$E$15:$I$75,5,FALSE))^(1/12)-1</f>
        <v>4.0741237836483535E-3</v>
      </c>
      <c r="U251" s="8">
        <f t="shared" ca="1" si="39"/>
        <v>108350.9010889483</v>
      </c>
      <c r="V251" s="14">
        <f t="shared" ca="1" si="40"/>
        <v>26703247.581405502</v>
      </c>
      <c r="W251" s="8">
        <f t="shared" ca="1" si="41"/>
        <v>14437621.881657124</v>
      </c>
    </row>
    <row r="252" spans="1:23" x14ac:dyDescent="0.2">
      <c r="A252" s="6">
        <f t="shared" ca="1" si="45"/>
        <v>53236</v>
      </c>
      <c r="B252" s="12">
        <f t="shared" ca="1" si="46"/>
        <v>10</v>
      </c>
      <c r="C252" s="7">
        <f ca="1">(YEAR(A252)-YEAR('ÖNYP kalkulátor'!$C$10))+(MONTH(CF!A252)-MONTH('ÖNYP kalkulátor'!$C$10)-1)/12</f>
        <v>64.333333333333329</v>
      </c>
      <c r="D252" s="4">
        <f ca="1">(1+VLOOKUP(YEAR(A252),'ÖNYP kalkulátor'!$E$15:$F$75,2,FALSE))^(1/12)-1</f>
        <v>2.4662697723036864E-3</v>
      </c>
      <c r="E252" s="4">
        <f t="shared" ca="1" si="49"/>
        <v>1.8541214898935525</v>
      </c>
      <c r="F252" s="8">
        <f t="shared" ca="1" si="50"/>
        <v>26703247.581405502</v>
      </c>
      <c r="G252" s="8">
        <v>10000</v>
      </c>
      <c r="H252" s="8">
        <v>250000</v>
      </c>
      <c r="I252" s="8">
        <v>500000</v>
      </c>
      <c r="J252" s="8">
        <v>750000</v>
      </c>
      <c r="K252" s="8"/>
      <c r="L252" s="4">
        <f ca="1">+IF('ÖNYP kalkulátor'!$C$16="nem",0,
IF(MONTH(A252)=1,VLOOKUP(YEAR(A252),'ÖNYP kalkulátor'!$E$15:$J$75,4),0))</f>
        <v>0</v>
      </c>
      <c r="M252" s="8">
        <f t="shared" ca="1" si="47"/>
        <v>55808.837151284912</v>
      </c>
      <c r="N252" s="8">
        <f t="shared" ca="1" si="48"/>
        <v>18602.945717094975</v>
      </c>
      <c r="O252" s="8">
        <f t="shared" ca="1" si="42"/>
        <v>744117.82868379878</v>
      </c>
      <c r="P252" s="8">
        <f t="shared" ca="1" si="43"/>
        <v>711335.47211012279</v>
      </c>
      <c r="Q252" s="8">
        <f t="shared" ca="1" si="44"/>
        <v>72923.547211012221</v>
      </c>
      <c r="R252" s="13">
        <v>150000</v>
      </c>
      <c r="S252" s="13">
        <f ca="1">MIN(IF(AND(MONTH(A252)=5,'ÖNYP kalkulátor'!$IU$6="igen"),(M252+N252)*12/(1+IF('ÖNYP kalkulátor'!$C$16="nem",0,VLOOKUP(YEAR(A252),'ÖNYP kalkulátor'!$E$15:$J$75,4)))*0.2,0),R252)</f>
        <v>0</v>
      </c>
      <c r="T252" s="4">
        <f ca="1">(1+VLOOKUP(YEAR(A252),'ÖNYP kalkulátor'!$E$15:$F$75,2,FALSE)+VLOOKUP(YEAR(A252),'ÖNYP kalkulátor'!$E$15:$I$75,5,FALSE))^(1/12)-1</f>
        <v>4.0741237836483535E-3</v>
      </c>
      <c r="U252" s="8">
        <f t="shared" ca="1" si="39"/>
        <v>109089.43563013492</v>
      </c>
      <c r="V252" s="14">
        <f t="shared" ca="1" si="40"/>
        <v>26885260.564246651</v>
      </c>
      <c r="W252" s="8">
        <f t="shared" ca="1" si="41"/>
        <v>14500269.109005455</v>
      </c>
    </row>
    <row r="253" spans="1:23" x14ac:dyDescent="0.2">
      <c r="A253" s="6">
        <f t="shared" ca="1" si="45"/>
        <v>53267</v>
      </c>
      <c r="B253" s="12">
        <f t="shared" ca="1" si="46"/>
        <v>11</v>
      </c>
      <c r="C253" s="7">
        <f ca="1">(YEAR(A253)-YEAR('ÖNYP kalkulátor'!$C$10))+(MONTH(CF!A253)-MONTH('ÖNYP kalkulátor'!$C$10)-1)/12</f>
        <v>64.416666666666671</v>
      </c>
      <c r="D253" s="4">
        <f ca="1">(1+VLOOKUP(YEAR(A253),'ÖNYP kalkulátor'!$E$15:$F$75,2,FALSE))^(1/12)-1</f>
        <v>2.4662697723036864E-3</v>
      </c>
      <c r="E253" s="4">
        <f t="shared" ca="1" si="49"/>
        <v>1.8586942536782556</v>
      </c>
      <c r="F253" s="8">
        <f t="shared" ca="1" si="50"/>
        <v>26885260.564246651</v>
      </c>
      <c r="G253" s="8">
        <v>10000</v>
      </c>
      <c r="H253" s="8">
        <v>250000</v>
      </c>
      <c r="I253" s="8">
        <v>500000</v>
      </c>
      <c r="J253" s="8">
        <v>750000</v>
      </c>
      <c r="K253" s="8"/>
      <c r="L253" s="4">
        <f ca="1">+IF('ÖNYP kalkulátor'!$C$16="nem",0,
IF(MONTH(A253)=1,VLOOKUP(YEAR(A253),'ÖNYP kalkulátor'!$E$15:$J$75,4),0))</f>
        <v>0</v>
      </c>
      <c r="M253" s="8">
        <f t="shared" ca="1" si="47"/>
        <v>55808.837151284912</v>
      </c>
      <c r="N253" s="8">
        <f t="shared" ca="1" si="48"/>
        <v>18602.945717094975</v>
      </c>
      <c r="O253" s="8">
        <f t="shared" ca="1" si="42"/>
        <v>818529.61155217863</v>
      </c>
      <c r="P253" s="8">
        <f t="shared" ca="1" si="43"/>
        <v>785286.96349441772</v>
      </c>
      <c r="Q253" s="8">
        <f t="shared" ca="1" si="44"/>
        <v>73951.491384294932</v>
      </c>
      <c r="R253" s="13">
        <v>150000</v>
      </c>
      <c r="S253" s="13">
        <f ca="1">MIN(IF(AND(MONTH(A253)=5,'ÖNYP kalkulátor'!$IU$6="igen"),(M253+N253)*12/(1+IF('ÖNYP kalkulátor'!$C$16="nem",0,VLOOKUP(YEAR(A253),'ÖNYP kalkulátor'!$E$15:$J$75,4)))*0.2,0),R253)</f>
        <v>0</v>
      </c>
      <c r="T253" s="4">
        <f ca="1">(1+VLOOKUP(YEAR(A253),'ÖNYP kalkulátor'!$E$15:$F$75,2,FALSE)+VLOOKUP(YEAR(A253),'ÖNYP kalkulátor'!$E$15:$I$75,5,FALSE))^(1/12)-1</f>
        <v>4.0741237836483535E-3</v>
      </c>
      <c r="U253" s="8">
        <f t="shared" ca="1" si="39"/>
        <v>109835.16702426545</v>
      </c>
      <c r="V253" s="14">
        <f t="shared" ca="1" si="40"/>
        <v>27069047.222655211</v>
      </c>
      <c r="W253" s="8">
        <f t="shared" ca="1" si="41"/>
        <v>14563474.960492844</v>
      </c>
    </row>
    <row r="254" spans="1:23" x14ac:dyDescent="0.2">
      <c r="A254" s="6">
        <f t="shared" ca="1" si="45"/>
        <v>53297</v>
      </c>
      <c r="B254" s="12">
        <f t="shared" ca="1" si="46"/>
        <v>12</v>
      </c>
      <c r="C254" s="7">
        <f ca="1">(YEAR(A254)-YEAR('ÖNYP kalkulátor'!$C$10))+(MONTH(CF!A254)-MONTH('ÖNYP kalkulátor'!$C$10)-1)/12</f>
        <v>64.5</v>
      </c>
      <c r="D254" s="4">
        <f ca="1">(1+VLOOKUP(YEAR(A254),'ÖNYP kalkulátor'!$E$15:$F$75,2,FALSE))^(1/12)-1</f>
        <v>2.4662697723036864E-3</v>
      </c>
      <c r="E254" s="4">
        <f t="shared" ca="1" si="49"/>
        <v>1.8632782951320568</v>
      </c>
      <c r="F254" s="8">
        <f t="shared" ca="1" si="50"/>
        <v>27069047.222655211</v>
      </c>
      <c r="G254" s="8">
        <v>10000</v>
      </c>
      <c r="H254" s="8">
        <v>250000</v>
      </c>
      <c r="I254" s="8">
        <v>500000</v>
      </c>
      <c r="J254" s="8">
        <v>750000</v>
      </c>
      <c r="K254" s="8"/>
      <c r="L254" s="4">
        <f ca="1">+IF('ÖNYP kalkulátor'!$C$16="nem",0,
IF(MONTH(A254)=1,VLOOKUP(YEAR(A254),'ÖNYP kalkulátor'!$E$15:$J$75,4),0))</f>
        <v>0</v>
      </c>
      <c r="M254" s="8">
        <f t="shared" ca="1" si="47"/>
        <v>55808.837151284912</v>
      </c>
      <c r="N254" s="8">
        <f t="shared" ca="1" si="48"/>
        <v>18602.945717094975</v>
      </c>
      <c r="O254" s="8">
        <f t="shared" ca="1" si="42"/>
        <v>892941.39442055847</v>
      </c>
      <c r="P254" s="8">
        <f t="shared" ca="1" si="43"/>
        <v>859326.68744845572</v>
      </c>
      <c r="Q254" s="8">
        <f t="shared" ca="1" si="44"/>
        <v>74039.723954037996</v>
      </c>
      <c r="R254" s="13">
        <v>150000</v>
      </c>
      <c r="S254" s="13">
        <f ca="1">MIN(IF(AND(MONTH(A254)=5,'ÖNYP kalkulátor'!$IU$6="igen"),(M254+N254)*12/(1+IF('ÖNYP kalkulátor'!$C$16="nem",0,VLOOKUP(YEAR(A254),'ÖNYP kalkulátor'!$E$15:$J$75,4)))*0.2,0),R254)</f>
        <v>0</v>
      </c>
      <c r="T254" s="4">
        <f ca="1">(1+VLOOKUP(YEAR(A254),'ÖNYP kalkulátor'!$E$15:$F$75,2,FALSE)+VLOOKUP(YEAR(A254),'ÖNYP kalkulátor'!$E$15:$I$75,5,FALSE))^(1/12)-1</f>
        <v>4.0741237836483535E-3</v>
      </c>
      <c r="U254" s="8">
        <f t="shared" ca="1" si="39"/>
        <v>110584.2960908159</v>
      </c>
      <c r="V254" s="14">
        <f t="shared" ca="1" si="40"/>
        <v>27253671.242700063</v>
      </c>
      <c r="W254" s="8">
        <f t="shared" ca="1" si="41"/>
        <v>14626731.451711835</v>
      </c>
    </row>
    <row r="255" spans="1:23" x14ac:dyDescent="0.2">
      <c r="A255" s="6">
        <f t="shared" ca="1" si="45"/>
        <v>53328</v>
      </c>
      <c r="B255" s="12">
        <f t="shared" ca="1" si="46"/>
        <v>1</v>
      </c>
      <c r="C255" s="7">
        <f ca="1">(YEAR(A255)-YEAR('ÖNYP kalkulátor'!$C$10))+(MONTH(CF!A255)-MONTH('ÖNYP kalkulátor'!$C$10)-1)/12</f>
        <v>64.583333333333329</v>
      </c>
      <c r="D255" s="4">
        <f ca="1">(1+VLOOKUP(YEAR(A255),'ÖNYP kalkulátor'!$E$15:$F$75,2,FALSE))^(1/12)-1</f>
        <v>2.4662697723036864E-3</v>
      </c>
      <c r="E255" s="4">
        <f t="shared" ca="1" si="49"/>
        <v>1.8678736420687305</v>
      </c>
      <c r="F255" s="8">
        <f t="shared" ca="1" si="50"/>
        <v>27253671.242700063</v>
      </c>
      <c r="G255" s="8">
        <v>10000</v>
      </c>
      <c r="H255" s="8">
        <v>250000</v>
      </c>
      <c r="I255" s="8">
        <v>500000</v>
      </c>
      <c r="J255" s="8">
        <v>750000</v>
      </c>
      <c r="K255" s="8"/>
      <c r="L255" s="4">
        <f ca="1">+IF('ÖNYP kalkulátor'!$C$16="nem",0,
IF(MONTH(A255)=1,VLOOKUP(YEAR(A255),'ÖNYP kalkulátor'!$E$15:$J$75,4),0))</f>
        <v>0.03</v>
      </c>
      <c r="M255" s="8">
        <f t="shared" ca="1" si="47"/>
        <v>57483.102265823458</v>
      </c>
      <c r="N255" s="8">
        <f t="shared" ca="1" si="48"/>
        <v>19161.034088607827</v>
      </c>
      <c r="O255" s="8">
        <f t="shared" ca="1" si="42"/>
        <v>76644.136354431277</v>
      </c>
      <c r="P255" s="8">
        <f t="shared" ca="1" si="43"/>
        <v>71645.488173165388</v>
      </c>
      <c r="Q255" s="8">
        <f t="shared" ca="1" si="44"/>
        <v>71645.488173165388</v>
      </c>
      <c r="R255" s="13">
        <v>150000</v>
      </c>
      <c r="S255" s="13">
        <f ca="1">MIN(IF(AND(MONTH(A255)=5,'ÖNYP kalkulátor'!$IU$6="igen"),(M255+N255)*12/(1+IF('ÖNYP kalkulátor'!$C$16="nem",0,VLOOKUP(YEAR(A255),'ÖNYP kalkulátor'!$E$15:$J$75,4)))*0.2,0),R255)</f>
        <v>0</v>
      </c>
      <c r="T255" s="4">
        <f ca="1">(1+VLOOKUP(YEAR(A255),'ÖNYP kalkulátor'!$E$15:$F$75,2,FALSE)+VLOOKUP(YEAR(A255),'ÖNYP kalkulátor'!$E$15:$I$75,5,FALSE))^(1/12)-1</f>
        <v>4.0741237836483535E-3</v>
      </c>
      <c r="U255" s="8">
        <f t="shared" ca="1" si="39"/>
        <v>111326.72278897489</v>
      </c>
      <c r="V255" s="14">
        <f t="shared" ca="1" si="40"/>
        <v>27436643.453662202</v>
      </c>
      <c r="W255" s="8">
        <f t="shared" ca="1" si="41"/>
        <v>14688704.222666385</v>
      </c>
    </row>
    <row r="256" spans="1:23" x14ac:dyDescent="0.2">
      <c r="A256" s="6">
        <f t="shared" ca="1" si="45"/>
        <v>53359</v>
      </c>
      <c r="B256" s="12">
        <f t="shared" ca="1" si="46"/>
        <v>2</v>
      </c>
      <c r="C256" s="7">
        <f ca="1">(YEAR(A256)-YEAR('ÖNYP kalkulátor'!$C$10))+(MONTH(CF!A256)-MONTH('ÖNYP kalkulátor'!$C$10)-1)/12</f>
        <v>64.666666666666671</v>
      </c>
      <c r="D256" s="4">
        <f ca="1">(1+VLOOKUP(YEAR(A256),'ÖNYP kalkulátor'!$E$15:$F$75,2,FALSE))^(1/12)-1</f>
        <v>2.4662697723036864E-3</v>
      </c>
      <c r="E256" s="4">
        <f t="shared" ca="1" si="49"/>
        <v>1.8724803223706474</v>
      </c>
      <c r="F256" s="8">
        <f t="shared" ca="1" si="50"/>
        <v>27436643.453662202</v>
      </c>
      <c r="G256" s="8">
        <v>10000</v>
      </c>
      <c r="H256" s="8">
        <v>250000</v>
      </c>
      <c r="I256" s="8">
        <v>500000</v>
      </c>
      <c r="J256" s="8">
        <v>750000</v>
      </c>
      <c r="K256" s="8"/>
      <c r="L256" s="4">
        <f ca="1">+IF('ÖNYP kalkulátor'!$C$16="nem",0,
IF(MONTH(A256)=1,VLOOKUP(YEAR(A256),'ÖNYP kalkulátor'!$E$15:$J$75,4),0))</f>
        <v>0</v>
      </c>
      <c r="M256" s="8">
        <f t="shared" ca="1" si="47"/>
        <v>57483.102265823458</v>
      </c>
      <c r="N256" s="8">
        <f t="shared" ca="1" si="48"/>
        <v>19161.034088607827</v>
      </c>
      <c r="O256" s="8">
        <f t="shared" ca="1" si="42"/>
        <v>153288.27270886255</v>
      </c>
      <c r="P256" s="8">
        <f t="shared" ca="1" si="43"/>
        <v>143690.9763463308</v>
      </c>
      <c r="Q256" s="8">
        <f t="shared" ca="1" si="44"/>
        <v>72045.488173165417</v>
      </c>
      <c r="R256" s="13">
        <v>150000</v>
      </c>
      <c r="S256" s="13">
        <f ca="1">MIN(IF(AND(MONTH(A256)=5,'ÖNYP kalkulátor'!$IU$6="igen"),(M256+N256)*12/(1+IF('ÖNYP kalkulátor'!$C$16="nem",0,VLOOKUP(YEAR(A256),'ÖNYP kalkulátor'!$E$15:$J$75,4)))*0.2,0),R256)</f>
        <v>0</v>
      </c>
      <c r="T256" s="4">
        <f ca="1">(1+VLOOKUP(YEAR(A256),'ÖNYP kalkulátor'!$E$15:$F$75,2,FALSE)+VLOOKUP(YEAR(A256),'ÖNYP kalkulátor'!$E$15:$I$75,5,FALSE))^(1/12)-1</f>
        <v>4.0741237836483535E-3</v>
      </c>
      <c r="U256" s="8">
        <f t="shared" ca="1" si="39"/>
        <v>112073.80387491592</v>
      </c>
      <c r="V256" s="14">
        <f t="shared" ca="1" si="40"/>
        <v>27620762.745710284</v>
      </c>
      <c r="W256" s="8">
        <f t="shared" ca="1" si="41"/>
        <v>14750896.132644592</v>
      </c>
    </row>
    <row r="257" spans="1:23" x14ac:dyDescent="0.2">
      <c r="A257" s="6">
        <f t="shared" ca="1" si="45"/>
        <v>53387</v>
      </c>
      <c r="B257" s="12">
        <f t="shared" ca="1" si="46"/>
        <v>3</v>
      </c>
      <c r="C257" s="7">
        <f ca="1">(YEAR(A257)-YEAR('ÖNYP kalkulátor'!$C$10))+(MONTH(CF!A257)-MONTH('ÖNYP kalkulátor'!$C$10)-1)/12</f>
        <v>64.75</v>
      </c>
      <c r="D257" s="4">
        <f ca="1">(1+VLOOKUP(YEAR(A257),'ÖNYP kalkulátor'!$E$15:$F$75,2,FALSE))^(1/12)-1</f>
        <v>2.4662697723036864E-3</v>
      </c>
      <c r="E257" s="4">
        <f t="shared" ca="1" si="49"/>
        <v>1.8770983639889436</v>
      </c>
      <c r="F257" s="8">
        <f t="shared" ca="1" si="50"/>
        <v>27620762.745710284</v>
      </c>
      <c r="G257" s="8">
        <v>10000</v>
      </c>
      <c r="H257" s="8">
        <v>250000</v>
      </c>
      <c r="I257" s="8">
        <v>500000</v>
      </c>
      <c r="J257" s="8">
        <v>750000</v>
      </c>
      <c r="K257" s="8"/>
      <c r="L257" s="4">
        <f ca="1">+IF('ÖNYP kalkulátor'!$C$16="nem",0,
IF(MONTH(A257)=1,VLOOKUP(YEAR(A257),'ÖNYP kalkulátor'!$E$15:$J$75,4),0))</f>
        <v>0</v>
      </c>
      <c r="M257" s="8">
        <f t="shared" ca="1" si="47"/>
        <v>57483.102265823458</v>
      </c>
      <c r="N257" s="8">
        <f t="shared" ca="1" si="48"/>
        <v>19161.034088607827</v>
      </c>
      <c r="O257" s="8">
        <f t="shared" ca="1" si="42"/>
        <v>229932.40906329383</v>
      </c>
      <c r="P257" s="8">
        <f t="shared" ca="1" si="43"/>
        <v>215736.46451949619</v>
      </c>
      <c r="Q257" s="8">
        <f t="shared" ca="1" si="44"/>
        <v>72045.488173165388</v>
      </c>
      <c r="R257" s="13">
        <v>150000</v>
      </c>
      <c r="S257" s="13">
        <f ca="1">MIN(IF(AND(MONTH(A257)=5,'ÖNYP kalkulátor'!$IU$6="igen"),(M257+N257)*12/(1+IF('ÖNYP kalkulátor'!$C$16="nem",0,VLOOKUP(YEAR(A257),'ÖNYP kalkulátor'!$E$15:$J$75,4)))*0.2,0),R257)</f>
        <v>0</v>
      </c>
      <c r="T257" s="4">
        <f ca="1">(1+VLOOKUP(YEAR(A257),'ÖNYP kalkulátor'!$E$15:$F$75,2,FALSE)+VLOOKUP(YEAR(A257),'ÖNYP kalkulátor'!$E$15:$I$75,5,FALSE))^(1/12)-1</f>
        <v>4.0741237836483535E-3</v>
      </c>
      <c r="U257" s="8">
        <f t="shared" ca="1" si="39"/>
        <v>112823.92866167751</v>
      </c>
      <c r="V257" s="14">
        <f t="shared" ca="1" si="40"/>
        <v>27805632.162545126</v>
      </c>
      <c r="W257" s="8">
        <f t="shared" ca="1" si="41"/>
        <v>14813092.747817719</v>
      </c>
    </row>
    <row r="258" spans="1:23" x14ac:dyDescent="0.2">
      <c r="A258" s="6">
        <f t="shared" ca="1" si="45"/>
        <v>53418</v>
      </c>
      <c r="B258" s="12">
        <f t="shared" ca="1" si="46"/>
        <v>4</v>
      </c>
      <c r="C258" s="7">
        <f ca="1">(YEAR(A258)-YEAR('ÖNYP kalkulátor'!$C$10))+(MONTH(CF!A258)-MONTH('ÖNYP kalkulátor'!$C$10)-1)/12</f>
        <v>64.833333333333329</v>
      </c>
      <c r="D258" s="4">
        <f ca="1">(1+VLOOKUP(YEAR(A258),'ÖNYP kalkulátor'!$E$15:$F$75,2,FALSE))^(1/12)-1</f>
        <v>2.4662697723036864E-3</v>
      </c>
      <c r="E258" s="4">
        <f t="shared" ca="1" si="49"/>
        <v>1.8817277949436901</v>
      </c>
      <c r="F258" s="8">
        <f t="shared" ca="1" si="50"/>
        <v>27805632.162545126</v>
      </c>
      <c r="G258" s="8">
        <v>10000</v>
      </c>
      <c r="H258" s="8">
        <v>250000</v>
      </c>
      <c r="I258" s="8">
        <v>500000</v>
      </c>
      <c r="J258" s="8">
        <v>750000</v>
      </c>
      <c r="K258" s="8"/>
      <c r="L258" s="4">
        <f ca="1">+IF('ÖNYP kalkulátor'!$C$16="nem",0,
IF(MONTH(A258)=1,VLOOKUP(YEAR(A258),'ÖNYP kalkulátor'!$E$15:$J$75,4),0))</f>
        <v>0</v>
      </c>
      <c r="M258" s="8">
        <f t="shared" ca="1" si="47"/>
        <v>57483.102265823458</v>
      </c>
      <c r="N258" s="8">
        <f t="shared" ca="1" si="48"/>
        <v>19161.034088607827</v>
      </c>
      <c r="O258" s="8">
        <f t="shared" ca="1" si="42"/>
        <v>306576.54541772511</v>
      </c>
      <c r="P258" s="8">
        <f t="shared" ca="1" si="43"/>
        <v>288347.71814683883</v>
      </c>
      <c r="Q258" s="8">
        <f t="shared" ca="1" si="44"/>
        <v>72611.253627342638</v>
      </c>
      <c r="R258" s="13">
        <v>150000</v>
      </c>
      <c r="S258" s="13">
        <f ca="1">MIN(IF(AND(MONTH(A258)=5,'ÖNYP kalkulátor'!$IU$6="igen"),(M258+N258)*12/(1+IF('ÖNYP kalkulátor'!$C$16="nem",0,VLOOKUP(YEAR(A258),'ÖNYP kalkulátor'!$E$15:$J$75,4)))*0.2,0),R258)</f>
        <v>0</v>
      </c>
      <c r="T258" s="4">
        <f ca="1">(1+VLOOKUP(YEAR(A258),'ÖNYP kalkulátor'!$E$15:$F$75,2,FALSE)+VLOOKUP(YEAR(A258),'ÖNYP kalkulátor'!$E$15:$I$75,5,FALSE))^(1/12)-1</f>
        <v>4.0741237836483535E-3</v>
      </c>
      <c r="U258" s="8">
        <f t="shared" ref="U258:U321" ca="1" si="51">+(F258+Q258+S258)*T258</f>
        <v>113579.41454816637</v>
      </c>
      <c r="V258" s="14">
        <f t="shared" ref="V258:V321" ca="1" si="52">+F258+Q258+S258+U258</f>
        <v>27991822.830720633</v>
      </c>
      <c r="W258" s="8">
        <f t="shared" ref="W258:W321" ca="1" si="53">+V258/E258</f>
        <v>14875596.197248219</v>
      </c>
    </row>
    <row r="259" spans="1:23" x14ac:dyDescent="0.2">
      <c r="A259" s="6">
        <f t="shared" ca="1" si="45"/>
        <v>53448</v>
      </c>
      <c r="B259" s="12">
        <f t="shared" ca="1" si="46"/>
        <v>5</v>
      </c>
      <c r="C259" s="7">
        <f ca="1">(YEAR(A259)-YEAR('ÖNYP kalkulátor'!$C$10))+(MONTH(CF!A259)-MONTH('ÖNYP kalkulátor'!$C$10)-1)/12</f>
        <v>64.916666666666671</v>
      </c>
      <c r="D259" s="4">
        <f ca="1">(1+VLOOKUP(YEAR(A259),'ÖNYP kalkulátor'!$E$15:$F$75,2,FALSE))^(1/12)-1</f>
        <v>2.4662697723036864E-3</v>
      </c>
      <c r="E259" s="4">
        <f t="shared" ca="1" si="49"/>
        <v>1.8863686433240634</v>
      </c>
      <c r="F259" s="8">
        <f t="shared" ca="1" si="50"/>
        <v>27991822.830720633</v>
      </c>
      <c r="G259" s="8">
        <v>10000</v>
      </c>
      <c r="H259" s="8">
        <v>250000</v>
      </c>
      <c r="I259" s="8">
        <v>500000</v>
      </c>
      <c r="J259" s="8">
        <v>750000</v>
      </c>
      <c r="K259" s="8"/>
      <c r="L259" s="4">
        <f ca="1">+IF('ÖNYP kalkulátor'!$C$16="nem",0,
IF(MONTH(A259)=1,VLOOKUP(YEAR(A259),'ÖNYP kalkulátor'!$E$15:$J$75,4),0))</f>
        <v>0</v>
      </c>
      <c r="M259" s="8">
        <f t="shared" ca="1" si="47"/>
        <v>57483.102265823458</v>
      </c>
      <c r="N259" s="8">
        <f t="shared" ca="1" si="48"/>
        <v>19161.034088607827</v>
      </c>
      <c r="O259" s="8">
        <f t="shared" ref="O259:O322" ca="1" si="54">IF(YEAR(A259)=YEAR(A258),O258+M259+N259,M259+N259)</f>
        <v>383220.68177215639</v>
      </c>
      <c r="P259" s="8">
        <f t="shared" ref="P259:P322" ca="1" si="55">IF(O259&lt;G259,O259*$G$1,0)
+IF(AND(O259&lt;H259,O259&gt;=G259),G259*$G$1+(O259-G259)*$H$1,0)
+IF(AND(O259&lt;I259,O259&gt;=H259),G259*$G$1+(H259-G259)*$H$1+(O259-H259)*$I$1,0)
+IF(AND(O259&lt;J259,O259&gt;=I259),G259*$G$1+(H259-G259)*$H$1+(I259-H259)*$I$1+(O259-I259)*$J$1,0)
+IF(AND(O259&gt;=J259),G259*$G$1+(H259-G259)*$H$1+(I259-H259)*$I$1+(J259-I259)*$J$1+(O259-J259)*$K$1,0)</f>
        <v>361159.64768354857</v>
      </c>
      <c r="Q259" s="8">
        <f t="shared" ref="Q259:Q322" ca="1" si="56">IF(YEAR(A259)=YEAR(A258),P259-P258,P259)</f>
        <v>72811.929536709737</v>
      </c>
      <c r="R259" s="13">
        <v>150000</v>
      </c>
      <c r="S259" s="13">
        <f ca="1">MIN(IF(AND(MONTH(A259)=5,'ÖNYP kalkulátor'!$IU$6="igen"),(M259+N259)*12/(1+IF('ÖNYP kalkulátor'!$C$16="nem",0,VLOOKUP(YEAR(A259),'ÖNYP kalkulátor'!$E$15:$J$75,4)))*0.2,0),R259)</f>
        <v>150000</v>
      </c>
      <c r="T259" s="4">
        <f ca="1">(1+VLOOKUP(YEAR(A259),'ÖNYP kalkulátor'!$E$15:$F$75,2,FALSE)+VLOOKUP(YEAR(A259),'ÖNYP kalkulátor'!$E$15:$I$75,5,FALSE))^(1/12)-1</f>
        <v>4.0741237836483535E-3</v>
      </c>
      <c r="U259" s="8">
        <f t="shared" ca="1" si="51"/>
        <v>114949.91452371601</v>
      </c>
      <c r="V259" s="14">
        <f t="shared" ca="1" si="52"/>
        <v>28329584.674781062</v>
      </c>
      <c r="W259" s="8">
        <f t="shared" ca="1" si="53"/>
        <v>15018053.218304191</v>
      </c>
    </row>
    <row r="260" spans="1:23" x14ac:dyDescent="0.2">
      <c r="A260" s="6">
        <f t="shared" ref="A260:A323" ca="1" si="57">+DATE(YEAR(A259),MONTH(A259)+1,1)</f>
        <v>53479</v>
      </c>
      <c r="B260" s="12">
        <f t="shared" ref="B260:B323" ca="1" si="58">+IF(YEAR(A260)=YEAR(A259),B259+1,1)</f>
        <v>6</v>
      </c>
      <c r="C260" s="7">
        <f ca="1">(YEAR(A260)-YEAR('ÖNYP kalkulátor'!$C$10))+(MONTH(CF!A260)-MONTH('ÖNYP kalkulátor'!$C$10)-1)/12</f>
        <v>65</v>
      </c>
      <c r="D260" s="4">
        <f ca="1">(1+VLOOKUP(YEAR(A260),'ÖNYP kalkulátor'!$E$15:$F$75,2,FALSE))^(1/12)-1</f>
        <v>2.4662697723036864E-3</v>
      </c>
      <c r="E260" s="4">
        <f t="shared" ca="1" si="49"/>
        <v>1.8910209372885149</v>
      </c>
      <c r="F260" s="8">
        <f t="shared" ca="1" si="50"/>
        <v>28329584.674781062</v>
      </c>
      <c r="G260" s="8">
        <v>10000</v>
      </c>
      <c r="H260" s="8">
        <v>250000</v>
      </c>
      <c r="I260" s="8">
        <v>500000</v>
      </c>
      <c r="J260" s="8">
        <v>750000</v>
      </c>
      <c r="K260" s="8"/>
      <c r="L260" s="4">
        <f ca="1">+IF('ÖNYP kalkulátor'!$C$16="nem",0,
IF(MONTH(A260)=1,VLOOKUP(YEAR(A260),'ÖNYP kalkulátor'!$E$15:$J$75,4),0))</f>
        <v>0</v>
      </c>
      <c r="M260" s="8">
        <f t="shared" ref="M260:M323" ca="1" si="59">M259*(1+L260)</f>
        <v>57483.102265823458</v>
      </c>
      <c r="N260" s="8">
        <f t="shared" ref="N260:N323" ca="1" si="60">N259*(1+L260)</f>
        <v>19161.034088607827</v>
      </c>
      <c r="O260" s="8">
        <f t="shared" ca="1" si="54"/>
        <v>459864.81812658766</v>
      </c>
      <c r="P260" s="8">
        <f t="shared" ca="1" si="55"/>
        <v>433971.5772202583</v>
      </c>
      <c r="Q260" s="8">
        <f t="shared" ca="1" si="56"/>
        <v>72811.929536709737</v>
      </c>
      <c r="R260" s="13">
        <v>150000</v>
      </c>
      <c r="S260" s="13">
        <f ca="1">MIN(IF(AND(MONTH(A260)=5,'ÖNYP kalkulátor'!$IU$6="igen"),(M260+N260)*12/(1+IF('ÖNYP kalkulátor'!$C$16="nem",0,VLOOKUP(YEAR(A260),'ÖNYP kalkulátor'!$E$15:$J$75,4)))*0.2,0),R260)</f>
        <v>0</v>
      </c>
      <c r="T260" s="4">
        <f ca="1">(1+VLOOKUP(YEAR(A260),'ÖNYP kalkulátor'!$E$15:$F$75,2,FALSE)+VLOOKUP(YEAR(A260),'ÖNYP kalkulátor'!$E$15:$I$75,5,FALSE))^(1/12)-1</f>
        <v>4.0741237836483535E-3</v>
      </c>
      <c r="U260" s="8">
        <f t="shared" ca="1" si="51"/>
        <v>115714.87951826428</v>
      </c>
      <c r="V260" s="14">
        <f t="shared" ca="1" si="52"/>
        <v>28518111.483836036</v>
      </c>
      <c r="W260" s="8">
        <f t="shared" ca="1" si="53"/>
        <v>15080801.550895255</v>
      </c>
    </row>
    <row r="261" spans="1:23" x14ac:dyDescent="0.2">
      <c r="A261" s="6">
        <f t="shared" ca="1" si="57"/>
        <v>53509</v>
      </c>
      <c r="B261" s="12">
        <f t="shared" ca="1" si="58"/>
        <v>7</v>
      </c>
      <c r="C261" s="7">
        <f ca="1">(YEAR(A261)-YEAR('ÖNYP kalkulátor'!$C$10))+(MONTH(CF!A261)-MONTH('ÖNYP kalkulátor'!$C$10)-1)/12</f>
        <v>65.083333333333329</v>
      </c>
      <c r="D261" s="4">
        <f ca="1">(1+VLOOKUP(YEAR(A261),'ÖNYP kalkulátor'!$E$15:$F$75,2,FALSE))^(1/12)-1</f>
        <v>2.4662697723036864E-3</v>
      </c>
      <c r="E261" s="4">
        <f t="shared" ca="1" si="49"/>
        <v>1.895684705064943</v>
      </c>
      <c r="F261" s="8">
        <f t="shared" ca="1" si="50"/>
        <v>28518111.483836036</v>
      </c>
      <c r="G261" s="8">
        <v>10000</v>
      </c>
      <c r="H261" s="8">
        <v>250000</v>
      </c>
      <c r="I261" s="8">
        <v>500000</v>
      </c>
      <c r="J261" s="8">
        <v>750000</v>
      </c>
      <c r="K261" s="8"/>
      <c r="L261" s="4">
        <f ca="1">+IF('ÖNYP kalkulátor'!$C$16="nem",0,
IF(MONTH(A261)=1,VLOOKUP(YEAR(A261),'ÖNYP kalkulátor'!$E$15:$J$75,4),0))</f>
        <v>0</v>
      </c>
      <c r="M261" s="8">
        <f t="shared" ca="1" si="59"/>
        <v>57483.102265823458</v>
      </c>
      <c r="N261" s="8">
        <f t="shared" ca="1" si="60"/>
        <v>19161.034088607827</v>
      </c>
      <c r="O261" s="8">
        <f t="shared" ca="1" si="54"/>
        <v>536508.95448101894</v>
      </c>
      <c r="P261" s="8">
        <f t="shared" ca="1" si="55"/>
        <v>507878.77539139858</v>
      </c>
      <c r="Q261" s="8">
        <f t="shared" ca="1" si="56"/>
        <v>73907.198171140277</v>
      </c>
      <c r="R261" s="13">
        <v>150000</v>
      </c>
      <c r="S261" s="13">
        <f ca="1">MIN(IF(AND(MONTH(A261)=5,'ÖNYP kalkulátor'!$IU$6="igen"),(M261+N261)*12/(1+IF('ÖNYP kalkulátor'!$C$16="nem",0,VLOOKUP(YEAR(A261),'ÖNYP kalkulátor'!$E$15:$J$75,4)))*0.2,0),R261)</f>
        <v>0</v>
      </c>
      <c r="T261" s="4">
        <f ca="1">(1+VLOOKUP(YEAR(A261),'ÖNYP kalkulátor'!$E$15:$F$75,2,FALSE)+VLOOKUP(YEAR(A261),'ÖNYP kalkulátor'!$E$15:$I$75,5,FALSE))^(1/12)-1</f>
        <v>4.0741237836483535E-3</v>
      </c>
      <c r="U261" s="8">
        <f t="shared" ca="1" si="51"/>
        <v>116487.42333488348</v>
      </c>
      <c r="V261" s="14">
        <f t="shared" ca="1" si="52"/>
        <v>28708506.105342057</v>
      </c>
      <c r="W261" s="8">
        <f t="shared" ca="1" si="53"/>
        <v>15144135.535111863</v>
      </c>
    </row>
    <row r="262" spans="1:23" x14ac:dyDescent="0.2">
      <c r="A262" s="6">
        <f t="shared" ca="1" si="57"/>
        <v>53540</v>
      </c>
      <c r="B262" s="12">
        <f t="shared" ca="1" si="58"/>
        <v>8</v>
      </c>
      <c r="C262" s="7">
        <f ca="1">(YEAR(A262)-YEAR('ÖNYP kalkulátor'!$C$10))+(MONTH(CF!A262)-MONTH('ÖNYP kalkulátor'!$C$10)-1)/12</f>
        <v>65.166666666666671</v>
      </c>
      <c r="D262" s="4">
        <f ca="1">(1+VLOOKUP(YEAR(A262),'ÖNYP kalkulátor'!$E$15:$F$75,2,FALSE))^(1/12)-1</f>
        <v>2.4662697723036864E-3</v>
      </c>
      <c r="E262" s="4">
        <f t="shared" ca="1" si="49"/>
        <v>1.9003599749508631</v>
      </c>
      <c r="F262" s="8">
        <f t="shared" ca="1" si="50"/>
        <v>28708506.105342057</v>
      </c>
      <c r="G262" s="8">
        <v>10000</v>
      </c>
      <c r="H262" s="8">
        <v>250000</v>
      </c>
      <c r="I262" s="8">
        <v>500000</v>
      </c>
      <c r="J262" s="8">
        <v>750000</v>
      </c>
      <c r="K262" s="8"/>
      <c r="L262" s="4">
        <f ca="1">+IF('ÖNYP kalkulátor'!$C$16="nem",0,
IF(MONTH(A262)=1,VLOOKUP(YEAR(A262),'ÖNYP kalkulátor'!$E$15:$J$75,4),0))</f>
        <v>0</v>
      </c>
      <c r="M262" s="8">
        <f t="shared" ca="1" si="59"/>
        <v>57483.102265823458</v>
      </c>
      <c r="N262" s="8">
        <f t="shared" ca="1" si="60"/>
        <v>19161.034088607827</v>
      </c>
      <c r="O262" s="8">
        <f t="shared" ca="1" si="54"/>
        <v>613153.09083545022</v>
      </c>
      <c r="P262" s="8">
        <f t="shared" ca="1" si="55"/>
        <v>582990.02901874122</v>
      </c>
      <c r="Q262" s="8">
        <f t="shared" ca="1" si="56"/>
        <v>75111.253627342638</v>
      </c>
      <c r="R262" s="13">
        <v>150000</v>
      </c>
      <c r="S262" s="13">
        <f ca="1">MIN(IF(AND(MONTH(A262)=5,'ÖNYP kalkulátor'!$IU$6="igen"),(M262+N262)*12/(1+IF('ÖNYP kalkulátor'!$C$16="nem",0,VLOOKUP(YEAR(A262),'ÖNYP kalkulátor'!$E$15:$J$75,4)))*0.2,0),R262)</f>
        <v>0</v>
      </c>
      <c r="T262" s="4">
        <f ca="1">(1+VLOOKUP(YEAR(A262),'ÖNYP kalkulátor'!$E$15:$F$75,2,FALSE)+VLOOKUP(YEAR(A262),'ÖNYP kalkulátor'!$E$15:$I$75,5,FALSE))^(1/12)-1</f>
        <v>4.0741237836483535E-3</v>
      </c>
      <c r="U262" s="8">
        <f t="shared" ca="1" si="51"/>
        <v>117268.02006161083</v>
      </c>
      <c r="V262" s="14">
        <f t="shared" ca="1" si="52"/>
        <v>28900885.37903101</v>
      </c>
      <c r="W262" s="8">
        <f t="shared" ca="1" si="53"/>
        <v>15208110.968438119</v>
      </c>
    </row>
    <row r="263" spans="1:23" x14ac:dyDescent="0.2">
      <c r="A263" s="6">
        <f t="shared" ca="1" si="57"/>
        <v>53571</v>
      </c>
      <c r="B263" s="12">
        <f t="shared" ca="1" si="58"/>
        <v>9</v>
      </c>
      <c r="C263" s="7">
        <f ca="1">(YEAR(A263)-YEAR('ÖNYP kalkulátor'!$C$10))+(MONTH(CF!A263)-MONTH('ÖNYP kalkulátor'!$C$10)-1)/12</f>
        <v>65.25</v>
      </c>
      <c r="D263" s="4">
        <f ca="1">(1+VLOOKUP(YEAR(A263),'ÖNYP kalkulátor'!$E$15:$F$75,2,FALSE))^(1/12)-1</f>
        <v>2.4662697723036864E-3</v>
      </c>
      <c r="E263" s="4">
        <f t="shared" ca="1" si="49"/>
        <v>1.9050467753135802</v>
      </c>
      <c r="F263" s="8">
        <f t="shared" ca="1" si="50"/>
        <v>28900885.37903101</v>
      </c>
      <c r="G263" s="8">
        <v>10000</v>
      </c>
      <c r="H263" s="8">
        <v>250000</v>
      </c>
      <c r="I263" s="8">
        <v>500000</v>
      </c>
      <c r="J263" s="8">
        <v>750000</v>
      </c>
      <c r="K263" s="8"/>
      <c r="L263" s="4">
        <f ca="1">+IF('ÖNYP kalkulátor'!$C$16="nem",0,
IF(MONTH(A263)=1,VLOOKUP(YEAR(A263),'ÖNYP kalkulátor'!$E$15:$J$75,4),0))</f>
        <v>0</v>
      </c>
      <c r="M263" s="8">
        <f t="shared" ca="1" si="59"/>
        <v>57483.102265823458</v>
      </c>
      <c r="N263" s="8">
        <f t="shared" ca="1" si="60"/>
        <v>19161.034088607827</v>
      </c>
      <c r="O263" s="8">
        <f t="shared" ca="1" si="54"/>
        <v>689797.22718988149</v>
      </c>
      <c r="P263" s="8">
        <f t="shared" ca="1" si="55"/>
        <v>658101.28264608386</v>
      </c>
      <c r="Q263" s="8">
        <f t="shared" ca="1" si="56"/>
        <v>75111.253627342638</v>
      </c>
      <c r="R263" s="13">
        <v>150000</v>
      </c>
      <c r="S263" s="13">
        <f ca="1">MIN(IF(AND(MONTH(A263)=5,'ÖNYP kalkulátor'!$IU$6="igen"),(M263+N263)*12/(1+IF('ÖNYP kalkulátor'!$C$16="nem",0,VLOOKUP(YEAR(A263),'ÖNYP kalkulátor'!$E$15:$J$75,4)))*0.2,0),R263)</f>
        <v>0</v>
      </c>
      <c r="T263" s="4">
        <f ca="1">(1+VLOOKUP(YEAR(A263),'ÖNYP kalkulátor'!$E$15:$F$75,2,FALSE)+VLOOKUP(YEAR(A263),'ÖNYP kalkulátor'!$E$15:$I$75,5,FALSE))^(1/12)-1</f>
        <v>4.0741237836483535E-3</v>
      </c>
      <c r="U263" s="8">
        <f t="shared" ca="1" si="51"/>
        <v>118051.79703602799</v>
      </c>
      <c r="V263" s="14">
        <f t="shared" ca="1" si="52"/>
        <v>29094048.429694381</v>
      </c>
      <c r="W263" s="8">
        <f t="shared" ca="1" si="53"/>
        <v>15272091.37681428</v>
      </c>
    </row>
    <row r="264" spans="1:23" x14ac:dyDescent="0.2">
      <c r="A264" s="6">
        <f t="shared" ca="1" si="57"/>
        <v>53601</v>
      </c>
      <c r="B264" s="12">
        <f t="shared" ca="1" si="58"/>
        <v>10</v>
      </c>
      <c r="C264" s="7">
        <f ca="1">(YEAR(A264)-YEAR('ÖNYP kalkulátor'!$C$10))+(MONTH(CF!A264)-MONTH('ÖNYP kalkulátor'!$C$10)-1)/12</f>
        <v>65.333333333333329</v>
      </c>
      <c r="D264" s="4">
        <f ca="1">(1+VLOOKUP(YEAR(A264),'ÖNYP kalkulátor'!$E$15:$F$75,2,FALSE))^(1/12)-1</f>
        <v>2.4662697723036864E-3</v>
      </c>
      <c r="E264" s="4">
        <f t="shared" ca="1" si="49"/>
        <v>1.9097451345903607</v>
      </c>
      <c r="F264" s="8">
        <f t="shared" ca="1" si="50"/>
        <v>29094048.429694381</v>
      </c>
      <c r="G264" s="8">
        <v>10000</v>
      </c>
      <c r="H264" s="8">
        <v>250000</v>
      </c>
      <c r="I264" s="8">
        <v>500000</v>
      </c>
      <c r="J264" s="8">
        <v>750000</v>
      </c>
      <c r="K264" s="8"/>
      <c r="L264" s="4">
        <f ca="1">+IF('ÖNYP kalkulátor'!$C$16="nem",0,
IF(MONTH(A264)=1,VLOOKUP(YEAR(A264),'ÖNYP kalkulátor'!$E$15:$J$75,4),0))</f>
        <v>0</v>
      </c>
      <c r="M264" s="8">
        <f t="shared" ca="1" si="59"/>
        <v>57483.102265823458</v>
      </c>
      <c r="N264" s="8">
        <f t="shared" ca="1" si="60"/>
        <v>19161.034088607827</v>
      </c>
      <c r="O264" s="8">
        <f t="shared" ca="1" si="54"/>
        <v>766441.36354431277</v>
      </c>
      <c r="P264" s="8">
        <f t="shared" ca="1" si="55"/>
        <v>733459.15672659117</v>
      </c>
      <c r="Q264" s="8">
        <f t="shared" ca="1" si="56"/>
        <v>75357.874080507318</v>
      </c>
      <c r="R264" s="13">
        <v>150000</v>
      </c>
      <c r="S264" s="13">
        <f ca="1">MIN(IF(AND(MONTH(A264)=5,'ÖNYP kalkulátor'!$IU$6="igen"),(M264+N264)*12/(1+IF('ÖNYP kalkulátor'!$C$16="nem",0,VLOOKUP(YEAR(A264),'ÖNYP kalkulátor'!$E$15:$J$75,4)))*0.2,0),R264)</f>
        <v>0</v>
      </c>
      <c r="T264" s="4">
        <f ca="1">(1+VLOOKUP(YEAR(A264),'ÖNYP kalkulátor'!$E$15:$F$75,2,FALSE)+VLOOKUP(YEAR(A264),'ÖNYP kalkulátor'!$E$15:$I$75,5,FALSE))^(1/12)-1</f>
        <v>4.0741237836483535E-3</v>
      </c>
      <c r="U264" s="8">
        <f t="shared" ca="1" si="51"/>
        <v>118839.77197711149</v>
      </c>
      <c r="V264" s="14">
        <f t="shared" ca="1" si="52"/>
        <v>29288246.075752001</v>
      </c>
      <c r="W264" s="8">
        <f t="shared" ca="1" si="53"/>
        <v>15336206.672433447</v>
      </c>
    </row>
    <row r="265" spans="1:23" x14ac:dyDescent="0.2">
      <c r="A265" s="6">
        <f t="shared" ca="1" si="57"/>
        <v>53632</v>
      </c>
      <c r="B265" s="12">
        <f t="shared" ca="1" si="58"/>
        <v>11</v>
      </c>
      <c r="C265" s="7">
        <f ca="1">(YEAR(A265)-YEAR('ÖNYP kalkulátor'!$C$10))+(MONTH(CF!A265)-MONTH('ÖNYP kalkulátor'!$C$10)-1)/12</f>
        <v>65.416666666666671</v>
      </c>
      <c r="D265" s="4">
        <f ca="1">(1+VLOOKUP(YEAR(A265),'ÖNYP kalkulátor'!$E$15:$F$75,2,FALSE))^(1/12)-1</f>
        <v>2.4662697723036864E-3</v>
      </c>
      <c r="E265" s="4">
        <f t="shared" ca="1" si="49"/>
        <v>1.914455081288605</v>
      </c>
      <c r="F265" s="8">
        <f t="shared" ca="1" si="50"/>
        <v>29288246.075752001</v>
      </c>
      <c r="G265" s="8">
        <v>10000</v>
      </c>
      <c r="H265" s="8">
        <v>250000</v>
      </c>
      <c r="I265" s="8">
        <v>500000</v>
      </c>
      <c r="J265" s="8">
        <v>750000</v>
      </c>
      <c r="K265" s="8"/>
      <c r="L265" s="4">
        <f ca="1">+IF('ÖNYP kalkulátor'!$C$16="nem",0,
IF(MONTH(A265)=1,VLOOKUP(YEAR(A265),'ÖNYP kalkulátor'!$E$15:$J$75,4),0))</f>
        <v>0</v>
      </c>
      <c r="M265" s="8">
        <f t="shared" ca="1" si="59"/>
        <v>57483.102265823458</v>
      </c>
      <c r="N265" s="8">
        <f t="shared" ca="1" si="60"/>
        <v>19161.034088607827</v>
      </c>
      <c r="O265" s="8">
        <f t="shared" ca="1" si="54"/>
        <v>843085.49989874405</v>
      </c>
      <c r="P265" s="8">
        <f t="shared" ca="1" si="55"/>
        <v>809720.07239925035</v>
      </c>
      <c r="Q265" s="8">
        <f t="shared" ca="1" si="56"/>
        <v>76260.915672659175</v>
      </c>
      <c r="R265" s="13">
        <v>150000</v>
      </c>
      <c r="S265" s="13">
        <f ca="1">MIN(IF(AND(MONTH(A265)=5,'ÖNYP kalkulátor'!$IU$6="igen"),(M265+N265)*12/(1+IF('ÖNYP kalkulátor'!$C$16="nem",0,VLOOKUP(YEAR(A265),'ÖNYP kalkulátor'!$E$15:$J$75,4)))*0.2,0),R265)</f>
        <v>0</v>
      </c>
      <c r="T265" s="4">
        <f ca="1">(1+VLOOKUP(YEAR(A265),'ÖNYP kalkulátor'!$E$15:$F$75,2,FALSE)+VLOOKUP(YEAR(A265),'ÖNYP kalkulátor'!$E$15:$I$75,5,FALSE))^(1/12)-1</f>
        <v>4.0741237836483535E-3</v>
      </c>
      <c r="U265" s="8">
        <f t="shared" ca="1" si="51"/>
        <v>119634.63632887157</v>
      </c>
      <c r="V265" s="14">
        <f t="shared" ca="1" si="52"/>
        <v>29484141.627753533</v>
      </c>
      <c r="W265" s="8">
        <f t="shared" ca="1" si="53"/>
        <v>15400800.946401931</v>
      </c>
    </row>
    <row r="266" spans="1:23" x14ac:dyDescent="0.2">
      <c r="A266" s="6">
        <f t="shared" ca="1" si="57"/>
        <v>53662</v>
      </c>
      <c r="B266" s="12">
        <f t="shared" ca="1" si="58"/>
        <v>12</v>
      </c>
      <c r="C266" s="7">
        <f ca="1">(YEAR(A266)-YEAR('ÖNYP kalkulátor'!$C$10))+(MONTH(CF!A266)-MONTH('ÖNYP kalkulátor'!$C$10)-1)/12</f>
        <v>65.5</v>
      </c>
      <c r="D266" s="4">
        <f ca="1">(1+VLOOKUP(YEAR(A266),'ÖNYP kalkulátor'!$E$15:$F$75,2,FALSE))^(1/12)-1</f>
        <v>2.4662697723036864E-3</v>
      </c>
      <c r="E266" s="4">
        <f t="shared" ca="1" si="49"/>
        <v>1.9191766439860203</v>
      </c>
      <c r="F266" s="8">
        <f t="shared" ca="1" si="50"/>
        <v>29484141.627753533</v>
      </c>
      <c r="G266" s="8">
        <v>10000</v>
      </c>
      <c r="H266" s="8">
        <v>250000</v>
      </c>
      <c r="I266" s="8">
        <v>500000</v>
      </c>
      <c r="J266" s="8">
        <v>750000</v>
      </c>
      <c r="K266" s="8"/>
      <c r="L266" s="4">
        <f ca="1">+IF('ÖNYP kalkulátor'!$C$16="nem",0,
IF(MONTH(A266)=1,VLOOKUP(YEAR(A266),'ÖNYP kalkulátor'!$E$15:$J$75,4),0))</f>
        <v>0</v>
      </c>
      <c r="M266" s="8">
        <f t="shared" ca="1" si="59"/>
        <v>57483.102265823458</v>
      </c>
      <c r="N266" s="8">
        <f t="shared" ca="1" si="60"/>
        <v>19161.034088607827</v>
      </c>
      <c r="O266" s="8">
        <f t="shared" ca="1" si="54"/>
        <v>919729.63625317533</v>
      </c>
      <c r="P266" s="8">
        <f t="shared" ca="1" si="55"/>
        <v>885980.98807190941</v>
      </c>
      <c r="Q266" s="8">
        <f t="shared" ca="1" si="56"/>
        <v>76260.915672659059</v>
      </c>
      <c r="R266" s="13">
        <v>150000</v>
      </c>
      <c r="S266" s="13">
        <f ca="1">MIN(IF(AND(MONTH(A266)=5,'ÖNYP kalkulátor'!$IU$6="igen"),(M266+N266)*12/(1+IF('ÖNYP kalkulátor'!$C$16="nem",0,VLOOKUP(YEAR(A266),'ÖNYP kalkulátor'!$E$15:$J$75,4)))*0.2,0),R266)</f>
        <v>0</v>
      </c>
      <c r="T266" s="4">
        <f ca="1">(1+VLOOKUP(YEAR(A266),'ÖNYP kalkulátor'!$E$15:$F$75,2,FALSE)+VLOOKUP(YEAR(A266),'ÖNYP kalkulátor'!$E$15:$I$75,5,FALSE))^(1/12)-1</f>
        <v>4.0741237836483535E-3</v>
      </c>
      <c r="U266" s="8">
        <f t="shared" ca="1" si="51"/>
        <v>120432.73905639193</v>
      </c>
      <c r="V266" s="14">
        <f t="shared" ca="1" si="52"/>
        <v>29680835.282482587</v>
      </c>
      <c r="W266" s="8">
        <f t="shared" ca="1" si="53"/>
        <v>15465400.423400937</v>
      </c>
    </row>
    <row r="267" spans="1:23" x14ac:dyDescent="0.2">
      <c r="A267" s="6">
        <f t="shared" ca="1" si="57"/>
        <v>53693</v>
      </c>
      <c r="B267" s="12">
        <f t="shared" ca="1" si="58"/>
        <v>1</v>
      </c>
      <c r="C267" s="7">
        <f ca="1">(YEAR(A267)-YEAR('ÖNYP kalkulátor'!$C$10))+(MONTH(CF!A267)-MONTH('ÖNYP kalkulátor'!$C$10)-1)/12</f>
        <v>65.583333333333329</v>
      </c>
      <c r="D267" s="4">
        <f ca="1">(1+VLOOKUP(YEAR(A267),'ÖNYP kalkulátor'!$E$15:$F$75,2,FALSE))^(1/12)-1</f>
        <v>2.4662697723036864E-3</v>
      </c>
      <c r="E267" s="4">
        <f t="shared" ca="1" si="49"/>
        <v>1.9239098513307942</v>
      </c>
      <c r="F267" s="8">
        <f t="shared" ca="1" si="50"/>
        <v>29680835.282482587</v>
      </c>
      <c r="G267" s="8">
        <v>10000</v>
      </c>
      <c r="H267" s="8">
        <v>250000</v>
      </c>
      <c r="I267" s="8">
        <v>500000</v>
      </c>
      <c r="J267" s="8">
        <v>750000</v>
      </c>
      <c r="K267" s="8"/>
      <c r="L267" s="4">
        <f ca="1">+IF('ÖNYP kalkulátor'!$C$16="nem",0,
IF(MONTH(A267)=1,VLOOKUP(YEAR(A267),'ÖNYP kalkulátor'!$E$15:$J$75,4),0))</f>
        <v>0.03</v>
      </c>
      <c r="M267" s="8">
        <f t="shared" ca="1" si="59"/>
        <v>59207.595333798163</v>
      </c>
      <c r="N267" s="8">
        <f t="shared" ca="1" si="60"/>
        <v>19735.865111266063</v>
      </c>
      <c r="O267" s="8">
        <f t="shared" ca="1" si="54"/>
        <v>78943.460445064222</v>
      </c>
      <c r="P267" s="8">
        <f t="shared" ca="1" si="55"/>
        <v>73806.852818360363</v>
      </c>
      <c r="Q267" s="8">
        <f t="shared" ca="1" si="56"/>
        <v>73806.852818360363</v>
      </c>
      <c r="R267" s="13">
        <v>150000</v>
      </c>
      <c r="S267" s="13">
        <f ca="1">MIN(IF(AND(MONTH(A267)=5,'ÖNYP kalkulátor'!$IU$6="igen"),(M267+N267)*12/(1+IF('ÖNYP kalkulátor'!$C$16="nem",0,VLOOKUP(YEAR(A267),'ÖNYP kalkulátor'!$E$15:$J$75,4)))*0.2,0),R267)</f>
        <v>0</v>
      </c>
      <c r="T267" s="4">
        <f ca="1">(1+VLOOKUP(YEAR(A267),'ÖNYP kalkulátor'!$E$15:$F$75,2,FALSE)+VLOOKUP(YEAR(A267),'ÖNYP kalkulátor'!$E$15:$I$75,5,FALSE))^(1/12)-1</f>
        <v>4.0741237836483535E-3</v>
      </c>
      <c r="U267" s="8">
        <f t="shared" ca="1" si="51"/>
        <v>121224.09519737501</v>
      </c>
      <c r="V267" s="14">
        <f t="shared" ca="1" si="52"/>
        <v>29875866.230498321</v>
      </c>
      <c r="W267" s="8">
        <f t="shared" ca="1" si="53"/>
        <v>15528724.596858207</v>
      </c>
    </row>
    <row r="268" spans="1:23" x14ac:dyDescent="0.2">
      <c r="A268" s="6">
        <f t="shared" ca="1" si="57"/>
        <v>53724</v>
      </c>
      <c r="B268" s="12">
        <f t="shared" ca="1" si="58"/>
        <v>2</v>
      </c>
      <c r="C268" s="7">
        <f ca="1">(YEAR(A268)-YEAR('ÖNYP kalkulátor'!$C$10))+(MONTH(CF!A268)-MONTH('ÖNYP kalkulátor'!$C$10)-1)/12</f>
        <v>65.666666666666671</v>
      </c>
      <c r="D268" s="4">
        <f ca="1">(1+VLOOKUP(YEAR(A268),'ÖNYP kalkulátor'!$E$15:$F$75,2,FALSE))^(1/12)-1</f>
        <v>2.4662697723036864E-3</v>
      </c>
      <c r="E268" s="4">
        <f t="shared" ca="1" si="49"/>
        <v>1.9286547320417686</v>
      </c>
      <c r="F268" s="8">
        <f t="shared" ca="1" si="50"/>
        <v>29875866.230498321</v>
      </c>
      <c r="G268" s="8">
        <v>10000</v>
      </c>
      <c r="H268" s="8">
        <v>250000</v>
      </c>
      <c r="I268" s="8">
        <v>500000</v>
      </c>
      <c r="J268" s="8">
        <v>750000</v>
      </c>
      <c r="K268" s="8"/>
      <c r="L268" s="4">
        <f ca="1">+IF('ÖNYP kalkulátor'!$C$16="nem",0,
IF(MONTH(A268)=1,VLOOKUP(YEAR(A268),'ÖNYP kalkulátor'!$E$15:$J$75,4),0))</f>
        <v>0</v>
      </c>
      <c r="M268" s="8">
        <f t="shared" ca="1" si="59"/>
        <v>59207.595333798163</v>
      </c>
      <c r="N268" s="8">
        <f t="shared" ca="1" si="60"/>
        <v>19735.865111266063</v>
      </c>
      <c r="O268" s="8">
        <f t="shared" ca="1" si="54"/>
        <v>157886.92089012844</v>
      </c>
      <c r="P268" s="8">
        <f t="shared" ca="1" si="55"/>
        <v>148013.70563672073</v>
      </c>
      <c r="Q268" s="8">
        <f t="shared" ca="1" si="56"/>
        <v>74206.852818360363</v>
      </c>
      <c r="R268" s="13">
        <v>150000</v>
      </c>
      <c r="S268" s="13">
        <f ca="1">MIN(IF(AND(MONTH(A268)=5,'ÖNYP kalkulátor'!$IU$6="igen"),(M268+N268)*12/(1+IF('ÖNYP kalkulátor'!$C$16="nem",0,VLOOKUP(YEAR(A268),'ÖNYP kalkulátor'!$E$15:$J$75,4)))*0.2,0),R268)</f>
        <v>0</v>
      </c>
      <c r="T268" s="4">
        <f ca="1">(1+VLOOKUP(YEAR(A268),'ÖNYP kalkulátor'!$E$15:$F$75,2,FALSE)+VLOOKUP(YEAR(A268),'ÖNYP kalkulátor'!$E$15:$I$75,5,FALSE))^(1/12)-1</f>
        <v>4.0741237836483535E-3</v>
      </c>
      <c r="U268" s="8">
        <f t="shared" ca="1" si="51"/>
        <v>122020.30507074686</v>
      </c>
      <c r="V268" s="14">
        <f t="shared" ca="1" si="52"/>
        <v>30072093.388387427</v>
      </c>
      <c r="W268" s="8">
        <f t="shared" ca="1" si="53"/>
        <v>15592263.814141389</v>
      </c>
    </row>
    <row r="269" spans="1:23" x14ac:dyDescent="0.2">
      <c r="A269" s="6">
        <f t="shared" ca="1" si="57"/>
        <v>53752</v>
      </c>
      <c r="B269" s="12">
        <f t="shared" ca="1" si="58"/>
        <v>3</v>
      </c>
      <c r="C269" s="7">
        <f ca="1">(YEAR(A269)-YEAR('ÖNYP kalkulátor'!$C$10))+(MONTH(CF!A269)-MONTH('ÖNYP kalkulátor'!$C$10)-1)/12</f>
        <v>65.75</v>
      </c>
      <c r="D269" s="4">
        <f ca="1">(1+VLOOKUP(YEAR(A269),'ÖNYP kalkulátor'!$E$15:$F$75,2,FALSE))^(1/12)-1</f>
        <v>2.4662697723036864E-3</v>
      </c>
      <c r="E269" s="4">
        <f t="shared" ca="1" si="49"/>
        <v>1.9334113149086136</v>
      </c>
      <c r="F269" s="8">
        <f t="shared" ca="1" si="50"/>
        <v>30072093.388387427</v>
      </c>
      <c r="G269" s="8">
        <v>10000</v>
      </c>
      <c r="H269" s="8">
        <v>250000</v>
      </c>
      <c r="I269" s="8">
        <v>500000</v>
      </c>
      <c r="J269" s="8">
        <v>750000</v>
      </c>
      <c r="K269" s="8"/>
      <c r="L269" s="4">
        <f ca="1">+IF('ÖNYP kalkulátor'!$C$16="nem",0,
IF(MONTH(A269)=1,VLOOKUP(YEAR(A269),'ÖNYP kalkulátor'!$E$15:$J$75,4),0))</f>
        <v>0</v>
      </c>
      <c r="M269" s="8">
        <f t="shared" ca="1" si="59"/>
        <v>59207.595333798163</v>
      </c>
      <c r="N269" s="8">
        <f t="shared" ca="1" si="60"/>
        <v>19735.865111266063</v>
      </c>
      <c r="O269" s="8">
        <f t="shared" ca="1" si="54"/>
        <v>236830.38133519268</v>
      </c>
      <c r="P269" s="8">
        <f t="shared" ca="1" si="55"/>
        <v>222220.5584550811</v>
      </c>
      <c r="Q269" s="8">
        <f t="shared" ca="1" si="56"/>
        <v>74206.852818360378</v>
      </c>
      <c r="R269" s="13">
        <v>150000</v>
      </c>
      <c r="S269" s="13">
        <f ca="1">MIN(IF(AND(MONTH(A269)=5,'ÖNYP kalkulátor'!$IU$6="igen"),(M269+N269)*12/(1+IF('ÖNYP kalkulátor'!$C$16="nem",0,VLOOKUP(YEAR(A269),'ÖNYP kalkulátor'!$E$15:$J$75,4)))*0.2,0),R269)</f>
        <v>0</v>
      </c>
      <c r="T269" s="4">
        <f ca="1">(1+VLOOKUP(YEAR(A269),'ÖNYP kalkulátor'!$E$15:$F$75,2,FALSE)+VLOOKUP(YEAR(A269),'ÖNYP kalkulátor'!$E$15:$I$75,5,FALSE))^(1/12)-1</f>
        <v>4.0741237836483535E-3</v>
      </c>
      <c r="U269" s="8">
        <f t="shared" ca="1" si="51"/>
        <v>122819.75880170059</v>
      </c>
      <c r="V269" s="14">
        <f t="shared" ca="1" si="52"/>
        <v>30269120.000007488</v>
      </c>
      <c r="W269" s="8">
        <f t="shared" ca="1" si="53"/>
        <v>15655809.897563476</v>
      </c>
    </row>
    <row r="270" spans="1:23" x14ac:dyDescent="0.2">
      <c r="A270" s="6">
        <f t="shared" ca="1" si="57"/>
        <v>53783</v>
      </c>
      <c r="B270" s="12">
        <f t="shared" ca="1" si="58"/>
        <v>4</v>
      </c>
      <c r="C270" s="7">
        <f ca="1">(YEAR(A270)-YEAR('ÖNYP kalkulátor'!$C$10))+(MONTH(CF!A270)-MONTH('ÖNYP kalkulátor'!$C$10)-1)/12</f>
        <v>65.833333333333329</v>
      </c>
      <c r="D270" s="4">
        <f ca="1">(1+VLOOKUP(YEAR(A270),'ÖNYP kalkulátor'!$E$15:$F$75,2,FALSE))^(1/12)-1</f>
        <v>2.4662697723036864E-3</v>
      </c>
      <c r="E270" s="4">
        <f t="shared" ca="1" si="49"/>
        <v>1.9381796287920026</v>
      </c>
      <c r="F270" s="8">
        <f t="shared" ca="1" si="50"/>
        <v>30269120.000007488</v>
      </c>
      <c r="G270" s="8">
        <v>10000</v>
      </c>
      <c r="H270" s="8">
        <v>250000</v>
      </c>
      <c r="I270" s="8">
        <v>500000</v>
      </c>
      <c r="J270" s="8">
        <v>750000</v>
      </c>
      <c r="K270" s="8"/>
      <c r="L270" s="4">
        <f ca="1">+IF('ÖNYP kalkulátor'!$C$16="nem",0,
IF(MONTH(A270)=1,VLOOKUP(YEAR(A270),'ÖNYP kalkulátor'!$E$15:$J$75,4),0))</f>
        <v>0</v>
      </c>
      <c r="M270" s="8">
        <f t="shared" ca="1" si="59"/>
        <v>59207.595333798163</v>
      </c>
      <c r="N270" s="8">
        <f t="shared" ca="1" si="60"/>
        <v>19735.865111266063</v>
      </c>
      <c r="O270" s="8">
        <f t="shared" ca="1" si="54"/>
        <v>315773.84178025695</v>
      </c>
      <c r="P270" s="8">
        <f t="shared" ca="1" si="55"/>
        <v>297085.14969124412</v>
      </c>
      <c r="Q270" s="8">
        <f t="shared" ca="1" si="56"/>
        <v>74864.591236163018</v>
      </c>
      <c r="R270" s="13">
        <v>150000</v>
      </c>
      <c r="S270" s="13">
        <f ca="1">MIN(IF(AND(MONTH(A270)=5,'ÖNYP kalkulátor'!$IU$6="igen"),(M270+N270)*12/(1+IF('ÖNYP kalkulátor'!$C$16="nem",0,VLOOKUP(YEAR(A270),'ÖNYP kalkulátor'!$E$15:$J$75,4)))*0.2,0),R270)</f>
        <v>0</v>
      </c>
      <c r="T270" s="4">
        <f ca="1">(1+VLOOKUP(YEAR(A270),'ÖNYP kalkulátor'!$E$15:$F$75,2,FALSE)+VLOOKUP(YEAR(A270),'ÖNYP kalkulátor'!$E$15:$I$75,5,FALSE))^(1/12)-1</f>
        <v>4.0741237836483535E-3</v>
      </c>
      <c r="U270" s="8">
        <f t="shared" ca="1" si="51"/>
        <v>123625.14931384492</v>
      </c>
      <c r="V270" s="14">
        <f t="shared" ca="1" si="52"/>
        <v>30467609.740557496</v>
      </c>
      <c r="W270" s="8">
        <f t="shared" ca="1" si="53"/>
        <v>15719703.833409321</v>
      </c>
    </row>
    <row r="271" spans="1:23" x14ac:dyDescent="0.2">
      <c r="A271" s="6">
        <f t="shared" ca="1" si="57"/>
        <v>53813</v>
      </c>
      <c r="B271" s="12">
        <f t="shared" ca="1" si="58"/>
        <v>5</v>
      </c>
      <c r="C271" s="7">
        <f ca="1">(YEAR(A271)-YEAR('ÖNYP kalkulátor'!$C$10))+(MONTH(CF!A271)-MONTH('ÖNYP kalkulátor'!$C$10)-1)/12</f>
        <v>65.916666666666671</v>
      </c>
      <c r="D271" s="4">
        <f ca="1">(1+VLOOKUP(YEAR(A271),'ÖNYP kalkulátor'!$E$15:$F$75,2,FALSE))^(1/12)-1</f>
        <v>2.4662697723036864E-3</v>
      </c>
      <c r="E271" s="4">
        <f t="shared" ca="1" si="49"/>
        <v>1.942959702623787</v>
      </c>
      <c r="F271" s="8">
        <f t="shared" ca="1" si="50"/>
        <v>30467609.740557496</v>
      </c>
      <c r="G271" s="8">
        <v>10000</v>
      </c>
      <c r="H271" s="8">
        <v>250000</v>
      </c>
      <c r="I271" s="8">
        <v>500000</v>
      </c>
      <c r="J271" s="8">
        <v>750000</v>
      </c>
      <c r="K271" s="8"/>
      <c r="L271" s="4">
        <f ca="1">+IF('ÖNYP kalkulátor'!$C$16="nem",0,
IF(MONTH(A271)=1,VLOOKUP(YEAR(A271),'ÖNYP kalkulátor'!$E$15:$J$75,4),0))</f>
        <v>0</v>
      </c>
      <c r="M271" s="8">
        <f t="shared" ca="1" si="59"/>
        <v>59207.595333798163</v>
      </c>
      <c r="N271" s="8">
        <f t="shared" ca="1" si="60"/>
        <v>19735.865111266063</v>
      </c>
      <c r="O271" s="8">
        <f t="shared" ca="1" si="54"/>
        <v>394717.30222532118</v>
      </c>
      <c r="P271" s="8">
        <f t="shared" ca="1" si="55"/>
        <v>372081.43711405515</v>
      </c>
      <c r="Q271" s="8">
        <f t="shared" ca="1" si="56"/>
        <v>74996.28742281103</v>
      </c>
      <c r="R271" s="13">
        <v>150000</v>
      </c>
      <c r="S271" s="13">
        <f ca="1">MIN(IF(AND(MONTH(A271)=5,'ÖNYP kalkulátor'!$IU$6="igen"),(M271+N271)*12/(1+IF('ÖNYP kalkulátor'!$C$16="nem",0,VLOOKUP(YEAR(A271),'ÖNYP kalkulátor'!$E$15:$J$75,4)))*0.2,0),R271)</f>
        <v>150000</v>
      </c>
      <c r="T271" s="4">
        <f ca="1">(1+VLOOKUP(YEAR(A271),'ÖNYP kalkulátor'!$E$15:$F$75,2,FALSE)+VLOOKUP(YEAR(A271),'ÖNYP kalkulátor'!$E$15:$I$75,5,FALSE))^(1/12)-1</f>
        <v>4.0741237836483535E-3</v>
      </c>
      <c r="U271" s="8">
        <f t="shared" ca="1" si="51"/>
        <v>125045.47620074339</v>
      </c>
      <c r="V271" s="14">
        <f t="shared" ca="1" si="52"/>
        <v>30817651.50418105</v>
      </c>
      <c r="W271" s="8">
        <f t="shared" ca="1" si="53"/>
        <v>15861189.227221062</v>
      </c>
    </row>
    <row r="272" spans="1:23" x14ac:dyDescent="0.2">
      <c r="A272" s="6">
        <f t="shared" ca="1" si="57"/>
        <v>53844</v>
      </c>
      <c r="B272" s="12">
        <f t="shared" ca="1" si="58"/>
        <v>6</v>
      </c>
      <c r="C272" s="7">
        <f ca="1">(YEAR(A272)-YEAR('ÖNYP kalkulátor'!$C$10))+(MONTH(CF!A272)-MONTH('ÖNYP kalkulátor'!$C$10)-1)/12</f>
        <v>66</v>
      </c>
      <c r="D272" s="4">
        <f ca="1">(1+VLOOKUP(YEAR(A272),'ÖNYP kalkulátor'!$E$15:$F$75,2,FALSE))^(1/12)-1</f>
        <v>2.4662697723036864E-3</v>
      </c>
      <c r="E272" s="4">
        <f t="shared" ca="1" si="49"/>
        <v>1.9477515654071722</v>
      </c>
      <c r="F272" s="8">
        <f t="shared" ca="1" si="50"/>
        <v>30817651.50418105</v>
      </c>
      <c r="G272" s="8">
        <v>10000</v>
      </c>
      <c r="H272" s="8">
        <v>250000</v>
      </c>
      <c r="I272" s="8">
        <v>500000</v>
      </c>
      <c r="J272" s="8">
        <v>750000</v>
      </c>
      <c r="K272" s="8"/>
      <c r="L272" s="4">
        <f ca="1">+IF('ÖNYP kalkulátor'!$C$16="nem",0,
IF(MONTH(A272)=1,VLOOKUP(YEAR(A272),'ÖNYP kalkulátor'!$E$15:$J$75,4),0))</f>
        <v>0</v>
      </c>
      <c r="M272" s="8">
        <f t="shared" ca="1" si="59"/>
        <v>59207.595333798163</v>
      </c>
      <c r="N272" s="8">
        <f t="shared" ca="1" si="60"/>
        <v>19735.865111266063</v>
      </c>
      <c r="O272" s="8">
        <f t="shared" ca="1" si="54"/>
        <v>473660.76267038542</v>
      </c>
      <c r="P272" s="8">
        <f t="shared" ca="1" si="55"/>
        <v>447077.72453686612</v>
      </c>
      <c r="Q272" s="8">
        <f t="shared" ca="1" si="56"/>
        <v>74996.287422810972</v>
      </c>
      <c r="R272" s="13">
        <v>150000</v>
      </c>
      <c r="S272" s="13">
        <f ca="1">MIN(IF(AND(MONTH(A272)=5,'ÖNYP kalkulátor'!$IU$6="igen"),(M272+N272)*12/(1+IF('ÖNYP kalkulátor'!$C$16="nem",0,VLOOKUP(YEAR(A272),'ÖNYP kalkulátor'!$E$15:$J$75,4)))*0.2,0),R272)</f>
        <v>0</v>
      </c>
      <c r="T272" s="4">
        <f ca="1">(1+VLOOKUP(YEAR(A272),'ÖNYP kalkulátor'!$E$15:$F$75,2,FALSE)+VLOOKUP(YEAR(A272),'ÖNYP kalkulátor'!$E$15:$I$75,5,FALSE))^(1/12)-1</f>
        <v>4.0741237836483535E-3</v>
      </c>
      <c r="U272" s="8">
        <f t="shared" ca="1" si="51"/>
        <v>125860.47110764506</v>
      </c>
      <c r="V272" s="14">
        <f t="shared" ca="1" si="52"/>
        <v>31018508.262711506</v>
      </c>
      <c r="W272" s="8">
        <f t="shared" ca="1" si="53"/>
        <v>15925289.864278544</v>
      </c>
    </row>
    <row r="273" spans="1:23" x14ac:dyDescent="0.2">
      <c r="A273" s="6">
        <f t="shared" ca="1" si="57"/>
        <v>53874</v>
      </c>
      <c r="B273" s="12">
        <f t="shared" ca="1" si="58"/>
        <v>7</v>
      </c>
      <c r="C273" s="7">
        <f ca="1">(YEAR(A273)-YEAR('ÖNYP kalkulátor'!$C$10))+(MONTH(CF!A273)-MONTH('ÖNYP kalkulátor'!$C$10)-1)/12</f>
        <v>66.083333333333329</v>
      </c>
      <c r="D273" s="4">
        <f ca="1">(1+VLOOKUP(YEAR(A273),'ÖNYP kalkulátor'!$E$15:$F$75,2,FALSE))^(1/12)-1</f>
        <v>2.4662697723036864E-3</v>
      </c>
      <c r="E273" s="4">
        <f t="shared" ca="1" si="49"/>
        <v>1.9525552462168931</v>
      </c>
      <c r="F273" s="8">
        <f t="shared" ca="1" si="50"/>
        <v>31018508.262711506</v>
      </c>
      <c r="G273" s="8">
        <v>10000</v>
      </c>
      <c r="H273" s="8">
        <v>250000</v>
      </c>
      <c r="I273" s="8">
        <v>500000</v>
      </c>
      <c r="J273" s="8">
        <v>750000</v>
      </c>
      <c r="K273" s="8"/>
      <c r="L273" s="4">
        <f ca="1">+IF('ÖNYP kalkulátor'!$C$16="nem",0,
IF(MONTH(A273)=1,VLOOKUP(YEAR(A273),'ÖNYP kalkulátor'!$E$15:$J$75,4),0))</f>
        <v>0</v>
      </c>
      <c r="M273" s="8">
        <f t="shared" ca="1" si="59"/>
        <v>59207.595333798163</v>
      </c>
      <c r="N273" s="8">
        <f t="shared" ca="1" si="60"/>
        <v>19735.865111266063</v>
      </c>
      <c r="O273" s="8">
        <f t="shared" ca="1" si="54"/>
        <v>552604.22311544965</v>
      </c>
      <c r="P273" s="8">
        <f t="shared" ca="1" si="55"/>
        <v>523652.13865314063</v>
      </c>
      <c r="Q273" s="8">
        <f t="shared" ca="1" si="56"/>
        <v>76574.414116274507</v>
      </c>
      <c r="R273" s="13">
        <v>150000</v>
      </c>
      <c r="S273" s="13">
        <f ca="1">MIN(IF(AND(MONTH(A273)=5,'ÖNYP kalkulátor'!$IU$6="igen"),(M273+N273)*12/(1+IF('ÖNYP kalkulátor'!$C$16="nem",0,VLOOKUP(YEAR(A273),'ÖNYP kalkulátor'!$E$15:$J$75,4)))*0.2,0),R273)</f>
        <v>0</v>
      </c>
      <c r="T273" s="4">
        <f ca="1">(1+VLOOKUP(YEAR(A273),'ÖNYP kalkulátor'!$E$15:$F$75,2,FALSE)+VLOOKUP(YEAR(A273),'ÖNYP kalkulátor'!$E$15:$I$75,5,FALSE))^(1/12)-1</f>
        <v>4.0741237836483535E-3</v>
      </c>
      <c r="U273" s="8">
        <f t="shared" ca="1" si="51"/>
        <v>126685.21588817597</v>
      </c>
      <c r="V273" s="14">
        <f t="shared" ca="1" si="52"/>
        <v>31221767.892715957</v>
      </c>
      <c r="W273" s="8">
        <f t="shared" ca="1" si="53"/>
        <v>15990209.728103023</v>
      </c>
    </row>
    <row r="274" spans="1:23" x14ac:dyDescent="0.2">
      <c r="A274" s="6">
        <f t="shared" ca="1" si="57"/>
        <v>53905</v>
      </c>
      <c r="B274" s="12">
        <f t="shared" ca="1" si="58"/>
        <v>8</v>
      </c>
      <c r="C274" s="7">
        <f ca="1">(YEAR(A274)-YEAR('ÖNYP kalkulátor'!$C$10))+(MONTH(CF!A274)-MONTH('ÖNYP kalkulátor'!$C$10)-1)/12</f>
        <v>66.166666666666671</v>
      </c>
      <c r="D274" s="4">
        <f ca="1">(1+VLOOKUP(YEAR(A274),'ÖNYP kalkulátor'!$E$15:$F$75,2,FALSE))^(1/12)-1</f>
        <v>2.4662697723036864E-3</v>
      </c>
      <c r="E274" s="4">
        <f t="shared" ca="1" si="49"/>
        <v>1.9573707741993909</v>
      </c>
      <c r="F274" s="8">
        <f t="shared" ca="1" si="50"/>
        <v>31221767.892715957</v>
      </c>
      <c r="G274" s="8">
        <v>10000</v>
      </c>
      <c r="H274" s="8">
        <v>250000</v>
      </c>
      <c r="I274" s="8">
        <v>500000</v>
      </c>
      <c r="J274" s="8">
        <v>750000</v>
      </c>
      <c r="K274" s="8"/>
      <c r="L274" s="4">
        <f ca="1">+IF('ÖNYP kalkulátor'!$C$16="nem",0,
IF(MONTH(A274)=1,VLOOKUP(YEAR(A274),'ÖNYP kalkulátor'!$E$15:$J$75,4),0))</f>
        <v>0</v>
      </c>
      <c r="M274" s="8">
        <f t="shared" ca="1" si="59"/>
        <v>59207.595333798163</v>
      </c>
      <c r="N274" s="8">
        <f t="shared" ca="1" si="60"/>
        <v>19735.865111266063</v>
      </c>
      <c r="O274" s="8">
        <f t="shared" ca="1" si="54"/>
        <v>631547.68356051389</v>
      </c>
      <c r="P274" s="8">
        <f t="shared" ca="1" si="55"/>
        <v>601016.72988930356</v>
      </c>
      <c r="Q274" s="8">
        <f t="shared" ca="1" si="56"/>
        <v>77364.591236162931</v>
      </c>
      <c r="R274" s="13">
        <v>150000</v>
      </c>
      <c r="S274" s="13">
        <f ca="1">MIN(IF(AND(MONTH(A274)=5,'ÖNYP kalkulátor'!$IU$6="igen"),(M274+N274)*12/(1+IF('ÖNYP kalkulátor'!$C$16="nem",0,VLOOKUP(YEAR(A274),'ÖNYP kalkulátor'!$E$15:$J$75,4)))*0.2,0),R274)</f>
        <v>0</v>
      </c>
      <c r="T274" s="4">
        <f ca="1">(1+VLOOKUP(YEAR(A274),'ÖNYP kalkulátor'!$E$15:$F$75,2,FALSE)+VLOOKUP(YEAR(A274),'ÖNYP kalkulátor'!$E$15:$I$75,5,FALSE))^(1/12)-1</f>
        <v>4.0741237836483535E-3</v>
      </c>
      <c r="U274" s="8">
        <f t="shared" ca="1" si="51"/>
        <v>127516.5400604301</v>
      </c>
      <c r="V274" s="14">
        <f t="shared" ca="1" si="52"/>
        <v>31426649.024012551</v>
      </c>
      <c r="W274" s="8">
        <f t="shared" ca="1" si="53"/>
        <v>16055542.17844433</v>
      </c>
    </row>
    <row r="275" spans="1:23" x14ac:dyDescent="0.2">
      <c r="A275" s="6">
        <f t="shared" ca="1" si="57"/>
        <v>53936</v>
      </c>
      <c r="B275" s="12">
        <f t="shared" ca="1" si="58"/>
        <v>9</v>
      </c>
      <c r="C275" s="7">
        <f ca="1">(YEAR(A275)-YEAR('ÖNYP kalkulátor'!$C$10))+(MONTH(CF!A275)-MONTH('ÖNYP kalkulátor'!$C$10)-1)/12</f>
        <v>66.25</v>
      </c>
      <c r="D275" s="4">
        <f ca="1">(1+VLOOKUP(YEAR(A275),'ÖNYP kalkulátor'!$E$15:$F$75,2,FALSE))^(1/12)-1</f>
        <v>2.4662697723036864E-3</v>
      </c>
      <c r="E275" s="4">
        <f t="shared" ca="1" si="49"/>
        <v>1.9621981785729894</v>
      </c>
      <c r="F275" s="8">
        <f t="shared" ca="1" si="50"/>
        <v>31426649.024012551</v>
      </c>
      <c r="G275" s="8">
        <v>10000</v>
      </c>
      <c r="H275" s="8">
        <v>250000</v>
      </c>
      <c r="I275" s="8">
        <v>500000</v>
      </c>
      <c r="J275" s="8">
        <v>750000</v>
      </c>
      <c r="K275" s="8"/>
      <c r="L275" s="4">
        <f ca="1">+IF('ÖNYP kalkulátor'!$C$16="nem",0,
IF(MONTH(A275)=1,VLOOKUP(YEAR(A275),'ÖNYP kalkulátor'!$E$15:$J$75,4),0))</f>
        <v>0</v>
      </c>
      <c r="M275" s="8">
        <f t="shared" ca="1" si="59"/>
        <v>59207.595333798163</v>
      </c>
      <c r="N275" s="8">
        <f t="shared" ca="1" si="60"/>
        <v>19735.865111266063</v>
      </c>
      <c r="O275" s="8">
        <f t="shared" ca="1" si="54"/>
        <v>710491.14400557813</v>
      </c>
      <c r="P275" s="8">
        <f t="shared" ca="1" si="55"/>
        <v>678381.32112546661</v>
      </c>
      <c r="Q275" s="8">
        <f t="shared" ca="1" si="56"/>
        <v>77364.591236163047</v>
      </c>
      <c r="R275" s="13">
        <v>150000</v>
      </c>
      <c r="S275" s="13">
        <f ca="1">MIN(IF(AND(MONTH(A275)=5,'ÖNYP kalkulátor'!$IU$6="igen"),(M275+N275)*12/(1+IF('ÖNYP kalkulátor'!$C$16="nem",0,VLOOKUP(YEAR(A275),'ÖNYP kalkulátor'!$E$15:$J$75,4)))*0.2,0),R275)</f>
        <v>0</v>
      </c>
      <c r="T275" s="4">
        <f ca="1">(1+VLOOKUP(YEAR(A275),'ÖNYP kalkulátor'!$E$15:$F$75,2,FALSE)+VLOOKUP(YEAR(A275),'ÖNYP kalkulátor'!$E$15:$I$75,5,FALSE))^(1/12)-1</f>
        <v>4.0741237836483535E-3</v>
      </c>
      <c r="U275" s="8">
        <f t="shared" ca="1" si="51"/>
        <v>128351.25115026633</v>
      </c>
      <c r="V275" s="14">
        <f t="shared" ca="1" si="52"/>
        <v>31632364.866398979</v>
      </c>
      <c r="W275" s="8">
        <f t="shared" ca="1" si="53"/>
        <v>16120881.780352915</v>
      </c>
    </row>
    <row r="276" spans="1:23" x14ac:dyDescent="0.2">
      <c r="A276" s="6">
        <f t="shared" ca="1" si="57"/>
        <v>53966</v>
      </c>
      <c r="B276" s="12">
        <f t="shared" ca="1" si="58"/>
        <v>10</v>
      </c>
      <c r="C276" s="7">
        <f ca="1">(YEAR(A276)-YEAR('ÖNYP kalkulátor'!$C$10))+(MONTH(CF!A276)-MONTH('ÖNYP kalkulátor'!$C$10)-1)/12</f>
        <v>66.333333333333329</v>
      </c>
      <c r="D276" s="4">
        <f ca="1">(1+VLOOKUP(YEAR(A276),'ÖNYP kalkulátor'!$E$15:$F$75,2,FALSE))^(1/12)-1</f>
        <v>2.4662697723036864E-3</v>
      </c>
      <c r="E276" s="4">
        <f t="shared" ca="1" si="49"/>
        <v>1.9670374886280733</v>
      </c>
      <c r="F276" s="8">
        <f t="shared" ca="1" si="50"/>
        <v>31632364.866398979</v>
      </c>
      <c r="G276" s="8">
        <v>10000</v>
      </c>
      <c r="H276" s="8">
        <v>250000</v>
      </c>
      <c r="I276" s="8">
        <v>500000</v>
      </c>
      <c r="J276" s="8">
        <v>750000</v>
      </c>
      <c r="K276" s="8"/>
      <c r="L276" s="4">
        <f ca="1">+IF('ÖNYP kalkulátor'!$C$16="nem",0,
IF(MONTH(A276)=1,VLOOKUP(YEAR(A276),'ÖNYP kalkulátor'!$E$15:$J$75,4),0))</f>
        <v>0</v>
      </c>
      <c r="M276" s="8">
        <f t="shared" ca="1" si="59"/>
        <v>59207.595333798163</v>
      </c>
      <c r="N276" s="8">
        <f t="shared" ca="1" si="60"/>
        <v>19735.865111266063</v>
      </c>
      <c r="O276" s="8">
        <f t="shared" ca="1" si="54"/>
        <v>789434.60445064236</v>
      </c>
      <c r="P276" s="8">
        <f t="shared" ca="1" si="55"/>
        <v>756337.43142838916</v>
      </c>
      <c r="Q276" s="8">
        <f t="shared" ca="1" si="56"/>
        <v>77956.110302922549</v>
      </c>
      <c r="R276" s="13">
        <v>150000</v>
      </c>
      <c r="S276" s="13">
        <f ca="1">MIN(IF(AND(MONTH(A276)=5,'ÖNYP kalkulátor'!$IU$6="igen"),(M276+N276)*12/(1+IF('ÖNYP kalkulátor'!$C$16="nem",0,VLOOKUP(YEAR(A276),'ÖNYP kalkulátor'!$E$15:$J$75,4)))*0.2,0),R276)</f>
        <v>0</v>
      </c>
      <c r="T276" s="4">
        <f ca="1">(1+VLOOKUP(YEAR(A276),'ÖNYP kalkulátor'!$E$15:$F$75,2,FALSE)+VLOOKUP(YEAR(A276),'ÖNYP kalkulátor'!$E$15:$I$75,5,FALSE))^(1/12)-1</f>
        <v>4.0741237836483535E-3</v>
      </c>
      <c r="U276" s="8">
        <f t="shared" ca="1" si="51"/>
        <v>129191.7728783045</v>
      </c>
      <c r="V276" s="14">
        <f t="shared" ca="1" si="52"/>
        <v>31839512.749580204</v>
      </c>
      <c r="W276" s="8">
        <f t="shared" ca="1" si="53"/>
        <v>16186530.726359943</v>
      </c>
    </row>
    <row r="277" spans="1:23" x14ac:dyDescent="0.2">
      <c r="A277" s="6">
        <f t="shared" ca="1" si="57"/>
        <v>53997</v>
      </c>
      <c r="B277" s="12">
        <f t="shared" ca="1" si="58"/>
        <v>11</v>
      </c>
      <c r="C277" s="7">
        <f ca="1">(YEAR(A277)-YEAR('ÖNYP kalkulátor'!$C$10))+(MONTH(CF!A277)-MONTH('ÖNYP kalkulátor'!$C$10)-1)/12</f>
        <v>66.416666666666671</v>
      </c>
      <c r="D277" s="4">
        <f ca="1">(1+VLOOKUP(YEAR(A277),'ÖNYP kalkulátor'!$E$15:$F$75,2,FALSE))^(1/12)-1</f>
        <v>2.4662697723036864E-3</v>
      </c>
      <c r="E277" s="4">
        <f t="shared" ca="1" si="49"/>
        <v>1.9718887337272648</v>
      </c>
      <c r="F277" s="8">
        <f t="shared" ca="1" si="50"/>
        <v>31839512.749580204</v>
      </c>
      <c r="G277" s="8">
        <v>10000</v>
      </c>
      <c r="H277" s="8">
        <v>250000</v>
      </c>
      <c r="I277" s="8">
        <v>500000</v>
      </c>
      <c r="J277" s="8">
        <v>750000</v>
      </c>
      <c r="K277" s="8"/>
      <c r="L277" s="4">
        <f ca="1">+IF('ÖNYP kalkulátor'!$C$16="nem",0,
IF(MONTH(A277)=1,VLOOKUP(YEAR(A277),'ÖNYP kalkulátor'!$E$15:$J$75,4),0))</f>
        <v>0</v>
      </c>
      <c r="M277" s="8">
        <f t="shared" ca="1" si="59"/>
        <v>59207.595333798163</v>
      </c>
      <c r="N277" s="8">
        <f t="shared" ca="1" si="60"/>
        <v>19735.865111266063</v>
      </c>
      <c r="O277" s="8">
        <f t="shared" ca="1" si="54"/>
        <v>868378.0648957066</v>
      </c>
      <c r="P277" s="8">
        <f t="shared" ca="1" si="55"/>
        <v>834886.1745712281</v>
      </c>
      <c r="Q277" s="8">
        <f t="shared" ca="1" si="56"/>
        <v>78548.743142838939</v>
      </c>
      <c r="R277" s="13">
        <v>150000</v>
      </c>
      <c r="S277" s="13">
        <f ca="1">MIN(IF(AND(MONTH(A277)=5,'ÖNYP kalkulátor'!$IU$6="igen"),(M277+N277)*12/(1+IF('ÖNYP kalkulátor'!$C$16="nem",0,VLOOKUP(YEAR(A277),'ÖNYP kalkulátor'!$E$15:$J$75,4)))*0.2,0),R277)</f>
        <v>0</v>
      </c>
      <c r="T277" s="4">
        <f ca="1">(1+VLOOKUP(YEAR(A277),'ÖNYP kalkulátor'!$E$15:$F$75,2,FALSE)+VLOOKUP(YEAR(A277),'ÖNYP kalkulátor'!$E$15:$I$75,5,FALSE))^(1/12)-1</f>
        <v>4.0741237836483535E-3</v>
      </c>
      <c r="U277" s="8">
        <f t="shared" ca="1" si="51"/>
        <v>130038.13345545362</v>
      </c>
      <c r="V277" s="14">
        <f t="shared" ca="1" si="52"/>
        <v>32048099.626178499</v>
      </c>
      <c r="W277" s="8">
        <f t="shared" ca="1" si="53"/>
        <v>16252488.833688486</v>
      </c>
    </row>
    <row r="278" spans="1:23" x14ac:dyDescent="0.2">
      <c r="A278" s="6">
        <f t="shared" ca="1" si="57"/>
        <v>54027</v>
      </c>
      <c r="B278" s="12">
        <f t="shared" ca="1" si="58"/>
        <v>12</v>
      </c>
      <c r="C278" s="7">
        <f ca="1">(YEAR(A278)-YEAR('ÖNYP kalkulátor'!$C$10))+(MONTH(CF!A278)-MONTH('ÖNYP kalkulátor'!$C$10)-1)/12</f>
        <v>66.5</v>
      </c>
      <c r="D278" s="4">
        <f ca="1">(1+VLOOKUP(YEAR(A278),'ÖNYP kalkulátor'!$E$15:$F$75,2,FALSE))^(1/12)-1</f>
        <v>2.4662697723036864E-3</v>
      </c>
      <c r="E278" s="4">
        <f t="shared" ca="1" si="49"/>
        <v>1.9767519433056024</v>
      </c>
      <c r="F278" s="8">
        <f t="shared" ca="1" si="50"/>
        <v>32048099.626178499</v>
      </c>
      <c r="G278" s="8">
        <v>10000</v>
      </c>
      <c r="H278" s="8">
        <v>250000</v>
      </c>
      <c r="I278" s="8">
        <v>500000</v>
      </c>
      <c r="J278" s="8">
        <v>750000</v>
      </c>
      <c r="K278" s="8"/>
      <c r="L278" s="4">
        <f ca="1">+IF('ÖNYP kalkulátor'!$C$16="nem",0,
IF(MONTH(A278)=1,VLOOKUP(YEAR(A278),'ÖNYP kalkulátor'!$E$15:$J$75,4),0))</f>
        <v>0</v>
      </c>
      <c r="M278" s="8">
        <f t="shared" ca="1" si="59"/>
        <v>59207.595333798163</v>
      </c>
      <c r="N278" s="8">
        <f t="shared" ca="1" si="60"/>
        <v>19735.865111266063</v>
      </c>
      <c r="O278" s="8">
        <f t="shared" ca="1" si="54"/>
        <v>947321.52534077084</v>
      </c>
      <c r="P278" s="8">
        <f t="shared" ca="1" si="55"/>
        <v>913434.91771406704</v>
      </c>
      <c r="Q278" s="8">
        <f t="shared" ca="1" si="56"/>
        <v>78548.743142838939</v>
      </c>
      <c r="R278" s="13">
        <v>150000</v>
      </c>
      <c r="S278" s="13">
        <f ca="1">MIN(IF(AND(MONTH(A278)=5,'ÖNYP kalkulátor'!$IU$6="igen"),(M278+N278)*12/(1+IF('ÖNYP kalkulátor'!$C$16="nem",0,VLOOKUP(YEAR(A278),'ÖNYP kalkulátor'!$E$15:$J$75,4)))*0.2,0),R278)</f>
        <v>0</v>
      </c>
      <c r="T278" s="4">
        <f ca="1">(1+VLOOKUP(YEAR(A278),'ÖNYP kalkulátor'!$E$15:$F$75,2,FALSE)+VLOOKUP(YEAR(A278),'ÖNYP kalkulátor'!$E$15:$I$75,5,FALSE))^(1/12)-1</f>
        <v>4.0741237836483535E-3</v>
      </c>
      <c r="U278" s="8">
        <f t="shared" ca="1" si="51"/>
        <v>130887.94221035966</v>
      </c>
      <c r="V278" s="14">
        <f t="shared" ca="1" si="52"/>
        <v>32257536.3115317</v>
      </c>
      <c r="W278" s="8">
        <f t="shared" ca="1" si="53"/>
        <v>16318454.331497647</v>
      </c>
    </row>
    <row r="279" spans="1:23" x14ac:dyDescent="0.2">
      <c r="A279" s="6">
        <f t="shared" ca="1" si="57"/>
        <v>54058</v>
      </c>
      <c r="B279" s="12">
        <f t="shared" ca="1" si="58"/>
        <v>1</v>
      </c>
      <c r="C279" s="7">
        <f ca="1">(YEAR(A279)-YEAR('ÖNYP kalkulátor'!$C$10))+(MONTH(CF!A279)-MONTH('ÖNYP kalkulátor'!$C$10)-1)/12</f>
        <v>66.583333333333329</v>
      </c>
      <c r="D279" s="4">
        <f ca="1">(1+VLOOKUP(YEAR(A279),'ÖNYP kalkulátor'!$E$15:$F$75,2,FALSE))^(1/12)-1</f>
        <v>2.4662697723036864E-3</v>
      </c>
      <c r="E279" s="4">
        <f t="shared" ca="1" si="49"/>
        <v>1.9816271468707196</v>
      </c>
      <c r="F279" s="8">
        <f t="shared" ca="1" si="50"/>
        <v>32257536.3115317</v>
      </c>
      <c r="G279" s="8">
        <v>10000</v>
      </c>
      <c r="H279" s="8">
        <v>250000</v>
      </c>
      <c r="I279" s="8">
        <v>500000</v>
      </c>
      <c r="J279" s="8">
        <v>750000</v>
      </c>
      <c r="K279" s="8"/>
      <c r="L279" s="4">
        <f ca="1">+IF('ÖNYP kalkulátor'!$C$16="nem",0,
IF(MONTH(A279)=1,VLOOKUP(YEAR(A279),'ÖNYP kalkulátor'!$E$15:$J$75,4),0))</f>
        <v>0.03</v>
      </c>
      <c r="M279" s="8">
        <f t="shared" ca="1" si="59"/>
        <v>60983.82319381211</v>
      </c>
      <c r="N279" s="8">
        <f t="shared" ca="1" si="60"/>
        <v>20327.941064604045</v>
      </c>
      <c r="O279" s="8">
        <f t="shared" ca="1" si="54"/>
        <v>81311.764258416151</v>
      </c>
      <c r="P279" s="8">
        <f t="shared" ca="1" si="55"/>
        <v>76033.058402911178</v>
      </c>
      <c r="Q279" s="8">
        <f t="shared" ca="1" si="56"/>
        <v>76033.058402911178</v>
      </c>
      <c r="R279" s="13">
        <v>150000</v>
      </c>
      <c r="S279" s="13">
        <f ca="1">MIN(IF(AND(MONTH(A279)=5,'ÖNYP kalkulátor'!$IU$6="igen"),(M279+N279)*12/(1+IF('ÖNYP kalkulátor'!$C$16="nem",0,VLOOKUP(YEAR(A279),'ÖNYP kalkulátor'!$E$15:$J$75,4)))*0.2,0),R279)</f>
        <v>0</v>
      </c>
      <c r="T279" s="4">
        <f ca="1">(1+VLOOKUP(YEAR(A279),'ÖNYP kalkulátor'!$E$15:$F$75,2,FALSE)+VLOOKUP(YEAR(A279),'ÖNYP kalkulátor'!$E$15:$I$75,5,FALSE))^(1/12)-1</f>
        <v>4.0741237836483535E-3</v>
      </c>
      <c r="U279" s="8">
        <f t="shared" ca="1" si="51"/>
        <v>131730.9639802945</v>
      </c>
      <c r="V279" s="14">
        <f t="shared" ca="1" si="52"/>
        <v>32465300.333914906</v>
      </c>
      <c r="W279" s="8">
        <f t="shared" ca="1" si="53"/>
        <v>16383152.797024598</v>
      </c>
    </row>
    <row r="280" spans="1:23" x14ac:dyDescent="0.2">
      <c r="A280" s="6">
        <f t="shared" ca="1" si="57"/>
        <v>54089</v>
      </c>
      <c r="B280" s="12">
        <f t="shared" ca="1" si="58"/>
        <v>2</v>
      </c>
      <c r="C280" s="7">
        <f ca="1">(YEAR(A280)-YEAR('ÖNYP kalkulátor'!$C$10))+(MONTH(CF!A280)-MONTH('ÖNYP kalkulátor'!$C$10)-1)/12</f>
        <v>66.666666666666671</v>
      </c>
      <c r="D280" s="4">
        <f ca="1">(1+VLOOKUP(YEAR(A280),'ÖNYP kalkulátor'!$E$15:$F$75,2,FALSE))^(1/12)-1</f>
        <v>2.4662697723036864E-3</v>
      </c>
      <c r="E280" s="4">
        <f t="shared" ca="1" si="49"/>
        <v>1.9865143740030233</v>
      </c>
      <c r="F280" s="8">
        <f t="shared" ca="1" si="50"/>
        <v>32465300.333914906</v>
      </c>
      <c r="G280" s="8">
        <v>10000</v>
      </c>
      <c r="H280" s="8">
        <v>250000</v>
      </c>
      <c r="I280" s="8">
        <v>500000</v>
      </c>
      <c r="J280" s="8">
        <v>750000</v>
      </c>
      <c r="K280" s="8"/>
      <c r="L280" s="4">
        <f ca="1">+IF('ÖNYP kalkulátor'!$C$16="nem",0,
IF(MONTH(A280)=1,VLOOKUP(YEAR(A280),'ÖNYP kalkulátor'!$E$15:$J$75,4),0))</f>
        <v>0</v>
      </c>
      <c r="M280" s="8">
        <f t="shared" ca="1" si="59"/>
        <v>60983.82319381211</v>
      </c>
      <c r="N280" s="8">
        <f t="shared" ca="1" si="60"/>
        <v>20327.941064604045</v>
      </c>
      <c r="O280" s="8">
        <f t="shared" ca="1" si="54"/>
        <v>162623.5285168323</v>
      </c>
      <c r="P280" s="8">
        <f t="shared" ca="1" si="55"/>
        <v>152466.11680582236</v>
      </c>
      <c r="Q280" s="8">
        <f t="shared" ca="1" si="56"/>
        <v>76433.058402911178</v>
      </c>
      <c r="R280" s="13">
        <v>150000</v>
      </c>
      <c r="S280" s="13">
        <f ca="1">MIN(IF(AND(MONTH(A280)=5,'ÖNYP kalkulátor'!$IU$6="igen"),(M280+N280)*12/(1+IF('ÖNYP kalkulátor'!$C$16="nem",0,VLOOKUP(YEAR(A280),'ÖNYP kalkulátor'!$E$15:$J$75,4)))*0.2,0),R280)</f>
        <v>0</v>
      </c>
      <c r="T280" s="4">
        <f ca="1">(1+VLOOKUP(YEAR(A280),'ÖNYP kalkulátor'!$E$15:$F$75,2,FALSE)+VLOOKUP(YEAR(A280),'ÖNYP kalkulátor'!$E$15:$I$75,5,FALSE))^(1/12)-1</f>
        <v>4.0741237836483535E-3</v>
      </c>
      <c r="U280" s="8">
        <f t="shared" ca="1" si="51"/>
        <v>132579.04997478583</v>
      </c>
      <c r="V280" s="14">
        <f t="shared" ca="1" si="52"/>
        <v>32674312.442292601</v>
      </c>
      <c r="W280" s="8">
        <f t="shared" ca="1" si="53"/>
        <v>16448062.430301284</v>
      </c>
    </row>
    <row r="281" spans="1:23" x14ac:dyDescent="0.2">
      <c r="A281" s="6">
        <f t="shared" ca="1" si="57"/>
        <v>54118</v>
      </c>
      <c r="B281" s="12">
        <f t="shared" ca="1" si="58"/>
        <v>3</v>
      </c>
      <c r="C281" s="7">
        <f ca="1">(YEAR(A281)-YEAR('ÖNYP kalkulátor'!$C$10))+(MONTH(CF!A281)-MONTH('ÖNYP kalkulátor'!$C$10)-1)/12</f>
        <v>66.75</v>
      </c>
      <c r="D281" s="4">
        <f ca="1">(1+VLOOKUP(YEAR(A281),'ÖNYP kalkulátor'!$E$15:$F$75,2,FALSE))^(1/12)-1</f>
        <v>2.4662697723036864E-3</v>
      </c>
      <c r="E281" s="4">
        <f t="shared" ca="1" si="49"/>
        <v>1.9914136543558738</v>
      </c>
      <c r="F281" s="8">
        <f t="shared" ca="1" si="50"/>
        <v>32674312.442292601</v>
      </c>
      <c r="G281" s="8">
        <v>10000</v>
      </c>
      <c r="H281" s="8">
        <v>250000</v>
      </c>
      <c r="I281" s="8">
        <v>500000</v>
      </c>
      <c r="J281" s="8">
        <v>750000</v>
      </c>
      <c r="K281" s="8"/>
      <c r="L281" s="4">
        <f ca="1">+IF('ÖNYP kalkulátor'!$C$16="nem",0,
IF(MONTH(A281)=1,VLOOKUP(YEAR(A281),'ÖNYP kalkulátor'!$E$15:$J$75,4),0))</f>
        <v>0</v>
      </c>
      <c r="M281" s="8">
        <f t="shared" ca="1" si="59"/>
        <v>60983.82319381211</v>
      </c>
      <c r="N281" s="8">
        <f t="shared" ca="1" si="60"/>
        <v>20327.941064604045</v>
      </c>
      <c r="O281" s="8">
        <f t="shared" ca="1" si="54"/>
        <v>243935.29277524844</v>
      </c>
      <c r="P281" s="8">
        <f t="shared" ca="1" si="55"/>
        <v>228899.17520873353</v>
      </c>
      <c r="Q281" s="8">
        <f t="shared" ca="1" si="56"/>
        <v>76433.058402911178</v>
      </c>
      <c r="R281" s="13">
        <v>150000</v>
      </c>
      <c r="S281" s="13">
        <f ca="1">MIN(IF(AND(MONTH(A281)=5,'ÖNYP kalkulátor'!$IU$6="igen"),(M281+N281)*12/(1+IF('ÖNYP kalkulátor'!$C$16="nem",0,VLOOKUP(YEAR(A281),'ÖNYP kalkulátor'!$E$15:$J$75,4)))*0.2,0),R281)</f>
        <v>0</v>
      </c>
      <c r="T281" s="4">
        <f ca="1">(1+VLOOKUP(YEAR(A281),'ÖNYP kalkulátor'!$E$15:$F$75,2,FALSE)+VLOOKUP(YEAR(A281),'ÖNYP kalkulátor'!$E$15:$I$75,5,FALSE))^(1/12)-1</f>
        <v>4.0741237836483535E-3</v>
      </c>
      <c r="U281" s="8">
        <f t="shared" ca="1" si="51"/>
        <v>133430.5911765979</v>
      </c>
      <c r="V281" s="14">
        <f t="shared" ca="1" si="52"/>
        <v>32884176.091872111</v>
      </c>
      <c r="W281" s="8">
        <f t="shared" ca="1" si="53"/>
        <v>16512981.127724845</v>
      </c>
    </row>
    <row r="282" spans="1:23" x14ac:dyDescent="0.2">
      <c r="A282" s="6">
        <f t="shared" ca="1" si="57"/>
        <v>54149</v>
      </c>
      <c r="B282" s="12">
        <f t="shared" ca="1" si="58"/>
        <v>4</v>
      </c>
      <c r="C282" s="7">
        <f ca="1">(YEAR(A282)-YEAR('ÖNYP kalkulátor'!$C$10))+(MONTH(CF!A282)-MONTH('ÖNYP kalkulátor'!$C$10)-1)/12</f>
        <v>66.833333333333329</v>
      </c>
      <c r="D282" s="4">
        <f ca="1">(1+VLOOKUP(YEAR(A282),'ÖNYP kalkulátor'!$E$15:$F$75,2,FALSE))^(1/12)-1</f>
        <v>2.4662697723036864E-3</v>
      </c>
      <c r="E282" s="4">
        <f t="shared" ca="1" si="49"/>
        <v>1.9963250176557645</v>
      </c>
      <c r="F282" s="8">
        <f t="shared" ca="1" si="50"/>
        <v>32884176.091872111</v>
      </c>
      <c r="G282" s="8">
        <v>10000</v>
      </c>
      <c r="H282" s="8">
        <v>250000</v>
      </c>
      <c r="I282" s="8">
        <v>500000</v>
      </c>
      <c r="J282" s="8">
        <v>750000</v>
      </c>
      <c r="K282" s="8"/>
      <c r="L282" s="4">
        <f ca="1">+IF('ÖNYP kalkulátor'!$C$16="nem",0,
IF(MONTH(A282)=1,VLOOKUP(YEAR(A282),'ÖNYP kalkulátor'!$E$15:$J$75,4),0))</f>
        <v>0</v>
      </c>
      <c r="M282" s="8">
        <f t="shared" ca="1" si="59"/>
        <v>60983.82319381211</v>
      </c>
      <c r="N282" s="8">
        <f t="shared" ca="1" si="60"/>
        <v>20327.941064604045</v>
      </c>
      <c r="O282" s="8">
        <f t="shared" ca="1" si="54"/>
        <v>325247.05703366461</v>
      </c>
      <c r="P282" s="8">
        <f t="shared" ca="1" si="55"/>
        <v>306084.70418198139</v>
      </c>
      <c r="Q282" s="8">
        <f t="shared" ca="1" si="56"/>
        <v>77185.528973247856</v>
      </c>
      <c r="R282" s="13">
        <v>150000</v>
      </c>
      <c r="S282" s="13">
        <f ca="1">MIN(IF(AND(MONTH(A282)=5,'ÖNYP kalkulátor'!$IU$6="igen"),(M282+N282)*12/(1+IF('ÖNYP kalkulátor'!$C$16="nem",0,VLOOKUP(YEAR(A282),'ÖNYP kalkulátor'!$E$15:$J$75,4)))*0.2,0),R282)</f>
        <v>0</v>
      </c>
      <c r="T282" s="4">
        <f ca="1">(1+VLOOKUP(YEAR(A282),'ÖNYP kalkulátor'!$E$15:$F$75,2,FALSE)+VLOOKUP(YEAR(A282),'ÖNYP kalkulátor'!$E$15:$I$75,5,FALSE))^(1/12)-1</f>
        <v>4.0741237836483535E-3</v>
      </c>
      <c r="U282" s="8">
        <f t="shared" ca="1" si="51"/>
        <v>134288.66732092013</v>
      </c>
      <c r="V282" s="14">
        <f t="shared" ca="1" si="52"/>
        <v>33095650.288166277</v>
      </c>
      <c r="W282" s="8">
        <f t="shared" ca="1" si="53"/>
        <v>16578287.601199171</v>
      </c>
    </row>
    <row r="283" spans="1:23" x14ac:dyDescent="0.2">
      <c r="A283" s="6">
        <f t="shared" ca="1" si="57"/>
        <v>54179</v>
      </c>
      <c r="B283" s="12">
        <f t="shared" ca="1" si="58"/>
        <v>5</v>
      </c>
      <c r="C283" s="7">
        <f ca="1">(YEAR(A283)-YEAR('ÖNYP kalkulátor'!$C$10))+(MONTH(CF!A283)-MONTH('ÖNYP kalkulátor'!$C$10)-1)/12</f>
        <v>66.916666666666671</v>
      </c>
      <c r="D283" s="4">
        <f ca="1">(1+VLOOKUP(YEAR(A283),'ÖNYP kalkulátor'!$E$15:$F$75,2,FALSE))^(1/12)-1</f>
        <v>2.4662697723036864E-3</v>
      </c>
      <c r="E283" s="4">
        <f t="shared" ca="1" si="49"/>
        <v>2.0012484937025024</v>
      </c>
      <c r="F283" s="8">
        <f t="shared" ca="1" si="50"/>
        <v>33095650.288166277</v>
      </c>
      <c r="G283" s="8">
        <v>10000</v>
      </c>
      <c r="H283" s="8">
        <v>250000</v>
      </c>
      <c r="I283" s="8">
        <v>500000</v>
      </c>
      <c r="J283" s="8">
        <v>750000</v>
      </c>
      <c r="K283" s="8"/>
      <c r="L283" s="4">
        <f ca="1">+IF('ÖNYP kalkulátor'!$C$16="nem",0,
IF(MONTH(A283)=1,VLOOKUP(YEAR(A283),'ÖNYP kalkulátor'!$E$15:$J$75,4),0))</f>
        <v>0</v>
      </c>
      <c r="M283" s="8">
        <f t="shared" ca="1" si="59"/>
        <v>60983.82319381211</v>
      </c>
      <c r="N283" s="8">
        <f t="shared" ca="1" si="60"/>
        <v>20327.941064604045</v>
      </c>
      <c r="O283" s="8">
        <f t="shared" ca="1" si="54"/>
        <v>406558.82129208074</v>
      </c>
      <c r="P283" s="8">
        <f t="shared" ca="1" si="55"/>
        <v>383330.88022747671</v>
      </c>
      <c r="Q283" s="8">
        <f t="shared" ca="1" si="56"/>
        <v>77246.176045495318</v>
      </c>
      <c r="R283" s="13">
        <v>150000</v>
      </c>
      <c r="S283" s="13">
        <f ca="1">MIN(IF(AND(MONTH(A283)=5,'ÖNYP kalkulátor'!$IU$6="igen"),(M283+N283)*12/(1+IF('ÖNYP kalkulátor'!$C$16="nem",0,VLOOKUP(YEAR(A283),'ÖNYP kalkulátor'!$E$15:$J$75,4)))*0.2,0),R283)</f>
        <v>150000</v>
      </c>
      <c r="T283" s="4">
        <f ca="1">(1+VLOOKUP(YEAR(A283),'ÖNYP kalkulátor'!$E$15:$F$75,2,FALSE)+VLOOKUP(YEAR(A283),'ÖNYP kalkulátor'!$E$15:$I$75,5,FALSE))^(1/12)-1</f>
        <v>4.0741237836483535E-3</v>
      </c>
      <c r="U283" s="8">
        <f t="shared" ca="1" si="51"/>
        <v>135761.60502489679</v>
      </c>
      <c r="V283" s="14">
        <f t="shared" ca="1" si="52"/>
        <v>33458658.06923667</v>
      </c>
      <c r="W283" s="8">
        <f t="shared" ca="1" si="53"/>
        <v>16718892.318731958</v>
      </c>
    </row>
    <row r="284" spans="1:23" x14ac:dyDescent="0.2">
      <c r="A284" s="6">
        <f t="shared" ca="1" si="57"/>
        <v>54210</v>
      </c>
      <c r="B284" s="12">
        <f t="shared" ca="1" si="58"/>
        <v>6</v>
      </c>
      <c r="C284" s="7">
        <f ca="1">(YEAR(A284)-YEAR('ÖNYP kalkulátor'!$C$10))+(MONTH(CF!A284)-MONTH('ÖNYP kalkulátor'!$C$10)-1)/12</f>
        <v>67</v>
      </c>
      <c r="D284" s="4">
        <f ca="1">(1+VLOOKUP(YEAR(A284),'ÖNYP kalkulátor'!$E$15:$F$75,2,FALSE))^(1/12)-1</f>
        <v>2.4662697723036864E-3</v>
      </c>
      <c r="E284" s="4">
        <f t="shared" ca="1" si="49"/>
        <v>2.0061841123693891</v>
      </c>
      <c r="F284" s="8">
        <f t="shared" ca="1" si="50"/>
        <v>33458658.06923667</v>
      </c>
      <c r="G284" s="8">
        <v>10000</v>
      </c>
      <c r="H284" s="8">
        <v>250000</v>
      </c>
      <c r="I284" s="8">
        <v>500000</v>
      </c>
      <c r="J284" s="8">
        <v>750000</v>
      </c>
      <c r="K284" s="8"/>
      <c r="L284" s="4">
        <f ca="1">+IF('ÖNYP kalkulátor'!$C$16="nem",0,
IF(MONTH(A284)=1,VLOOKUP(YEAR(A284),'ÖNYP kalkulátor'!$E$15:$J$75,4),0))</f>
        <v>0</v>
      </c>
      <c r="M284" s="8">
        <f t="shared" ca="1" si="59"/>
        <v>60983.82319381211</v>
      </c>
      <c r="N284" s="8">
        <f t="shared" ca="1" si="60"/>
        <v>20327.941064604045</v>
      </c>
      <c r="O284" s="8">
        <f t="shared" ca="1" si="54"/>
        <v>487870.58555049688</v>
      </c>
      <c r="P284" s="8">
        <f t="shared" ca="1" si="55"/>
        <v>460577.05627297203</v>
      </c>
      <c r="Q284" s="8">
        <f t="shared" ca="1" si="56"/>
        <v>77246.176045495318</v>
      </c>
      <c r="R284" s="13">
        <v>150000</v>
      </c>
      <c r="S284" s="13">
        <f ca="1">MIN(IF(AND(MONTH(A284)=5,'ÖNYP kalkulátor'!$IU$6="igen"),(M284+N284)*12/(1+IF('ÖNYP kalkulátor'!$C$16="nem",0,VLOOKUP(YEAR(A284),'ÖNYP kalkulátor'!$E$15:$J$75,4)))*0.2,0),R284)</f>
        <v>0</v>
      </c>
      <c r="T284" s="4">
        <f ca="1">(1+VLOOKUP(YEAR(A284),'ÖNYP kalkulátor'!$E$15:$F$75,2,FALSE)+VLOOKUP(YEAR(A284),'ÖNYP kalkulátor'!$E$15:$I$75,5,FALSE))^(1/12)-1</f>
        <v>4.0741237836483535E-3</v>
      </c>
      <c r="U284" s="8">
        <f t="shared" ca="1" si="51"/>
        <v>136629.42509185785</v>
      </c>
      <c r="V284" s="14">
        <f t="shared" ca="1" si="52"/>
        <v>33672533.670374021</v>
      </c>
      <c r="W284" s="8">
        <f t="shared" ca="1" si="53"/>
        <v>16784368.624375816</v>
      </c>
    </row>
    <row r="285" spans="1:23" x14ac:dyDescent="0.2">
      <c r="A285" s="6">
        <f t="shared" ca="1" si="57"/>
        <v>54240</v>
      </c>
      <c r="B285" s="12">
        <f t="shared" ca="1" si="58"/>
        <v>7</v>
      </c>
      <c r="C285" s="7">
        <f ca="1">(YEAR(A285)-YEAR('ÖNYP kalkulátor'!$C$10))+(MONTH(CF!A285)-MONTH('ÖNYP kalkulátor'!$C$10)-1)/12</f>
        <v>67.083333333333329</v>
      </c>
      <c r="D285" s="4">
        <f ca="1">(1+VLOOKUP(YEAR(A285),'ÖNYP kalkulátor'!$E$15:$F$75,2,FALSE))^(1/12)-1</f>
        <v>2.4662697723036864E-3</v>
      </c>
      <c r="E285" s="4">
        <f t="shared" ca="1" si="49"/>
        <v>2.0111319036034017</v>
      </c>
      <c r="F285" s="8">
        <f t="shared" ca="1" si="50"/>
        <v>33672533.670374021</v>
      </c>
      <c r="G285" s="8">
        <v>10000</v>
      </c>
      <c r="H285" s="8">
        <v>250000</v>
      </c>
      <c r="I285" s="8">
        <v>500000</v>
      </c>
      <c r="J285" s="8">
        <v>750000</v>
      </c>
      <c r="K285" s="8"/>
      <c r="L285" s="4">
        <f ca="1">+IF('ÖNYP kalkulátor'!$C$16="nem",0,
IF(MONTH(A285)=1,VLOOKUP(YEAR(A285),'ÖNYP kalkulátor'!$E$15:$J$75,4),0))</f>
        <v>0</v>
      </c>
      <c r="M285" s="8">
        <f t="shared" ca="1" si="59"/>
        <v>60983.82319381211</v>
      </c>
      <c r="N285" s="8">
        <f t="shared" ca="1" si="60"/>
        <v>20327.941064604045</v>
      </c>
      <c r="O285" s="8">
        <f t="shared" ca="1" si="54"/>
        <v>569182.34980891307</v>
      </c>
      <c r="P285" s="8">
        <f t="shared" ca="1" si="55"/>
        <v>539898.70281273476</v>
      </c>
      <c r="Q285" s="8">
        <f t="shared" ca="1" si="56"/>
        <v>79321.646539762733</v>
      </c>
      <c r="R285" s="13">
        <v>150000</v>
      </c>
      <c r="S285" s="13">
        <f ca="1">MIN(IF(AND(MONTH(A285)=5,'ÖNYP kalkulátor'!$IU$6="igen"),(M285+N285)*12/(1+IF('ÖNYP kalkulátor'!$C$16="nem",0,VLOOKUP(YEAR(A285),'ÖNYP kalkulátor'!$E$15:$J$75,4)))*0.2,0),R285)</f>
        <v>0</v>
      </c>
      <c r="T285" s="4">
        <f ca="1">(1+VLOOKUP(YEAR(A285),'ÖNYP kalkulátor'!$E$15:$F$75,2,FALSE)+VLOOKUP(YEAR(A285),'ÖNYP kalkulátor'!$E$15:$I$75,5,FALSE))^(1/12)-1</f>
        <v>4.0741237836483535E-3</v>
      </c>
      <c r="U285" s="8">
        <f t="shared" ca="1" si="51"/>
        <v>137509.23648889657</v>
      </c>
      <c r="V285" s="14">
        <f t="shared" ca="1" si="52"/>
        <v>33889364.553402677</v>
      </c>
      <c r="W285" s="8">
        <f t="shared" ca="1" si="53"/>
        <v>16850891.029415898</v>
      </c>
    </row>
    <row r="286" spans="1:23" x14ac:dyDescent="0.2">
      <c r="A286" s="6">
        <f t="shared" ca="1" si="57"/>
        <v>54271</v>
      </c>
      <c r="B286" s="12">
        <f t="shared" ca="1" si="58"/>
        <v>8</v>
      </c>
      <c r="C286" s="7">
        <f ca="1">(YEAR(A286)-YEAR('ÖNYP kalkulátor'!$C$10))+(MONTH(CF!A286)-MONTH('ÖNYP kalkulátor'!$C$10)-1)/12</f>
        <v>67.166666666666671</v>
      </c>
      <c r="D286" s="4">
        <f ca="1">(1+VLOOKUP(YEAR(A286),'ÖNYP kalkulátor'!$E$15:$F$75,2,FALSE))^(1/12)-1</f>
        <v>2.4662697723036864E-3</v>
      </c>
      <c r="E286" s="4">
        <f t="shared" ca="1" si="49"/>
        <v>2.0160918974253743</v>
      </c>
      <c r="F286" s="8">
        <f t="shared" ca="1" si="50"/>
        <v>33889364.553402677</v>
      </c>
      <c r="G286" s="8">
        <v>10000</v>
      </c>
      <c r="H286" s="8">
        <v>250000</v>
      </c>
      <c r="I286" s="8">
        <v>500000</v>
      </c>
      <c r="J286" s="8">
        <v>750000</v>
      </c>
      <c r="K286" s="8"/>
      <c r="L286" s="4">
        <f ca="1">+IF('ÖNYP kalkulátor'!$C$16="nem",0,
IF(MONTH(A286)=1,VLOOKUP(YEAR(A286),'ÖNYP kalkulátor'!$E$15:$J$75,4),0))</f>
        <v>0</v>
      </c>
      <c r="M286" s="8">
        <f t="shared" ca="1" si="59"/>
        <v>60983.82319381211</v>
      </c>
      <c r="N286" s="8">
        <f t="shared" ca="1" si="60"/>
        <v>20327.941064604045</v>
      </c>
      <c r="O286" s="8">
        <f t="shared" ca="1" si="54"/>
        <v>650494.11406732933</v>
      </c>
      <c r="P286" s="8">
        <f t="shared" ca="1" si="55"/>
        <v>619584.23178598273</v>
      </c>
      <c r="Q286" s="8">
        <f t="shared" ca="1" si="56"/>
        <v>79685.528973247972</v>
      </c>
      <c r="R286" s="13">
        <v>150000</v>
      </c>
      <c r="S286" s="13">
        <f ca="1">MIN(IF(AND(MONTH(A286)=5,'ÖNYP kalkulátor'!$IU$6="igen"),(M286+N286)*12/(1+IF('ÖNYP kalkulátor'!$C$16="nem",0,VLOOKUP(YEAR(A286),'ÖNYP kalkulátor'!$E$15:$J$75,4)))*0.2,0),R286)</f>
        <v>0</v>
      </c>
      <c r="T286" s="4">
        <f ca="1">(1+VLOOKUP(YEAR(A286),'ÖNYP kalkulátor'!$E$15:$F$75,2,FALSE)+VLOOKUP(YEAR(A286),'ÖNYP kalkulátor'!$E$15:$I$75,5,FALSE))^(1/12)-1</f>
        <v>4.0741237836483535E-3</v>
      </c>
      <c r="U286" s="8">
        <f t="shared" ca="1" si="51"/>
        <v>138394.11484854983</v>
      </c>
      <c r="V286" s="14">
        <f t="shared" ca="1" si="52"/>
        <v>34107444.197224475</v>
      </c>
      <c r="W286" s="8">
        <f t="shared" ca="1" si="53"/>
        <v>16917603.925089415</v>
      </c>
    </row>
    <row r="287" spans="1:23" x14ac:dyDescent="0.2">
      <c r="A287" s="6">
        <f t="shared" ca="1" si="57"/>
        <v>54302</v>
      </c>
      <c r="B287" s="12">
        <f t="shared" ca="1" si="58"/>
        <v>9</v>
      </c>
      <c r="C287" s="7">
        <f ca="1">(YEAR(A287)-YEAR('ÖNYP kalkulátor'!$C$10))+(MONTH(CF!A287)-MONTH('ÖNYP kalkulátor'!$C$10)-1)/12</f>
        <v>67.25</v>
      </c>
      <c r="D287" s="4">
        <f ca="1">(1+VLOOKUP(YEAR(A287),'ÖNYP kalkulátor'!$E$15:$F$75,2,FALSE))^(1/12)-1</f>
        <v>2.4662697723036864E-3</v>
      </c>
      <c r="E287" s="4">
        <f t="shared" ca="1" si="49"/>
        <v>2.0210641239301808</v>
      </c>
      <c r="F287" s="8">
        <f t="shared" ca="1" si="50"/>
        <v>34107444.197224475</v>
      </c>
      <c r="G287" s="8">
        <v>10000</v>
      </c>
      <c r="H287" s="8">
        <v>250000</v>
      </c>
      <c r="I287" s="8">
        <v>500000</v>
      </c>
      <c r="J287" s="8">
        <v>750000</v>
      </c>
      <c r="K287" s="8"/>
      <c r="L287" s="4">
        <f ca="1">+IF('ÖNYP kalkulátor'!$C$16="nem",0,
IF(MONTH(A287)=1,VLOOKUP(YEAR(A287),'ÖNYP kalkulátor'!$E$15:$J$75,4),0))</f>
        <v>0</v>
      </c>
      <c r="M287" s="8">
        <f t="shared" ca="1" si="59"/>
        <v>60983.82319381211</v>
      </c>
      <c r="N287" s="8">
        <f t="shared" ca="1" si="60"/>
        <v>20327.941064604045</v>
      </c>
      <c r="O287" s="8">
        <f t="shared" ca="1" si="54"/>
        <v>731805.87832574558</v>
      </c>
      <c r="P287" s="8">
        <f t="shared" ca="1" si="55"/>
        <v>699269.7607592307</v>
      </c>
      <c r="Q287" s="8">
        <f t="shared" ca="1" si="56"/>
        <v>79685.528973247972</v>
      </c>
      <c r="R287" s="13">
        <v>150000</v>
      </c>
      <c r="S287" s="13">
        <f ca="1">MIN(IF(AND(MONTH(A287)=5,'ÖNYP kalkulátor'!$IU$6="igen"),(M287+N287)*12/(1+IF('ÖNYP kalkulátor'!$C$16="nem",0,VLOOKUP(YEAR(A287),'ÖNYP kalkulátor'!$E$15:$J$75,4)))*0.2,0),R287)</f>
        <v>0</v>
      </c>
      <c r="T287" s="4">
        <f ca="1">(1+VLOOKUP(YEAR(A287),'ÖNYP kalkulátor'!$E$15:$F$75,2,FALSE)+VLOOKUP(YEAR(A287),'ÖNYP kalkulátor'!$E$15:$I$75,5,FALSE))^(1/12)-1</f>
        <v>4.0741237836483535E-3</v>
      </c>
      <c r="U287" s="8">
        <f t="shared" ca="1" si="51"/>
        <v>139282.5983121738</v>
      </c>
      <c r="V287" s="14">
        <f t="shared" ca="1" si="52"/>
        <v>34326412.324509904</v>
      </c>
      <c r="W287" s="8">
        <f t="shared" ca="1" si="53"/>
        <v>16984326.186424226</v>
      </c>
    </row>
    <row r="288" spans="1:23" x14ac:dyDescent="0.2">
      <c r="A288" s="6">
        <f t="shared" ca="1" si="57"/>
        <v>54332</v>
      </c>
      <c r="B288" s="12">
        <f t="shared" ca="1" si="58"/>
        <v>10</v>
      </c>
      <c r="C288" s="7">
        <f ca="1">(YEAR(A288)-YEAR('ÖNYP kalkulátor'!$C$10))+(MONTH(CF!A288)-MONTH('ÖNYP kalkulátor'!$C$10)-1)/12</f>
        <v>67.333333333333329</v>
      </c>
      <c r="D288" s="4">
        <f ca="1">(1+VLOOKUP(YEAR(A288),'ÖNYP kalkulátor'!$E$15:$F$75,2,FALSE))^(1/12)-1</f>
        <v>2.4662697723036864E-3</v>
      </c>
      <c r="E288" s="4">
        <f t="shared" ca="1" si="49"/>
        <v>2.0260486132869171</v>
      </c>
      <c r="F288" s="8">
        <f t="shared" ca="1" si="50"/>
        <v>34326412.324509904</v>
      </c>
      <c r="G288" s="8">
        <v>10000</v>
      </c>
      <c r="H288" s="8">
        <v>250000</v>
      </c>
      <c r="I288" s="8">
        <v>500000</v>
      </c>
      <c r="J288" s="8">
        <v>750000</v>
      </c>
      <c r="K288" s="8"/>
      <c r="L288" s="4">
        <f ca="1">+IF('ÖNYP kalkulátor'!$C$16="nem",0,
IF(MONTH(A288)=1,VLOOKUP(YEAR(A288),'ÖNYP kalkulátor'!$E$15:$J$75,4),0))</f>
        <v>0</v>
      </c>
      <c r="M288" s="8">
        <f t="shared" ca="1" si="59"/>
        <v>60983.82319381211</v>
      </c>
      <c r="N288" s="8">
        <f t="shared" ca="1" si="60"/>
        <v>20327.941064604045</v>
      </c>
      <c r="O288" s="8">
        <f t="shared" ca="1" si="54"/>
        <v>813117.64258416183</v>
      </c>
      <c r="P288" s="8">
        <f t="shared" ca="1" si="55"/>
        <v>779902.05437124101</v>
      </c>
      <c r="Q288" s="8">
        <f t="shared" ca="1" si="56"/>
        <v>80632.293612010311</v>
      </c>
      <c r="R288" s="13">
        <v>150000</v>
      </c>
      <c r="S288" s="13">
        <f ca="1">MIN(IF(AND(MONTH(A288)=5,'ÖNYP kalkulátor'!$IU$6="igen"),(M288+N288)*12/(1+IF('ÖNYP kalkulátor'!$C$16="nem",0,VLOOKUP(YEAR(A288),'ÖNYP kalkulátor'!$E$15:$J$75,4)))*0.2,0),R288)</f>
        <v>0</v>
      </c>
      <c r="T288" s="4">
        <f ca="1">(1+VLOOKUP(YEAR(A288),'ÖNYP kalkulátor'!$E$15:$F$75,2,FALSE)+VLOOKUP(YEAR(A288),'ÖNYP kalkulátor'!$E$15:$I$75,5,FALSE))^(1/12)-1</f>
        <v>4.0741237836483535E-3</v>
      </c>
      <c r="U288" s="8">
        <f t="shared" ca="1" si="51"/>
        <v>140178.55880374057</v>
      </c>
      <c r="V288" s="14">
        <f t="shared" ca="1" si="52"/>
        <v>34547223.176925652</v>
      </c>
      <c r="W288" s="8">
        <f t="shared" ca="1" si="53"/>
        <v>17051527.268577576</v>
      </c>
    </row>
    <row r="289" spans="1:23" x14ac:dyDescent="0.2">
      <c r="A289" s="6">
        <f t="shared" ca="1" si="57"/>
        <v>54363</v>
      </c>
      <c r="B289" s="12">
        <f t="shared" ca="1" si="58"/>
        <v>11</v>
      </c>
      <c r="C289" s="7">
        <f ca="1">(YEAR(A289)-YEAR('ÖNYP kalkulátor'!$C$10))+(MONTH(CF!A289)-MONTH('ÖNYP kalkulátor'!$C$10)-1)/12</f>
        <v>67.416666666666671</v>
      </c>
      <c r="D289" s="4">
        <f ca="1">(1+VLOOKUP(YEAR(A289),'ÖNYP kalkulátor'!$E$15:$F$75,2,FALSE))^(1/12)-1</f>
        <v>2.4662697723036864E-3</v>
      </c>
      <c r="E289" s="4">
        <f t="shared" ca="1" si="49"/>
        <v>2.0310453957390844</v>
      </c>
      <c r="F289" s="8">
        <f t="shared" ca="1" si="50"/>
        <v>34547223.176925652</v>
      </c>
      <c r="G289" s="8">
        <v>10000</v>
      </c>
      <c r="H289" s="8">
        <v>250000</v>
      </c>
      <c r="I289" s="8">
        <v>500000</v>
      </c>
      <c r="J289" s="8">
        <v>750000</v>
      </c>
      <c r="K289" s="8"/>
      <c r="L289" s="4">
        <f ca="1">+IF('ÖNYP kalkulátor'!$C$16="nem",0,
IF(MONTH(A289)=1,VLOOKUP(YEAR(A289),'ÖNYP kalkulátor'!$E$15:$J$75,4),0))</f>
        <v>0</v>
      </c>
      <c r="M289" s="8">
        <f t="shared" ca="1" si="59"/>
        <v>60983.82319381211</v>
      </c>
      <c r="N289" s="8">
        <f t="shared" ca="1" si="60"/>
        <v>20327.941064604045</v>
      </c>
      <c r="O289" s="8">
        <f t="shared" ca="1" si="54"/>
        <v>894429.40684257809</v>
      </c>
      <c r="P289" s="8">
        <f t="shared" ca="1" si="55"/>
        <v>860807.25980836526</v>
      </c>
      <c r="Q289" s="8">
        <f t="shared" ca="1" si="56"/>
        <v>80905.205437124241</v>
      </c>
      <c r="R289" s="13">
        <v>150000</v>
      </c>
      <c r="S289" s="13">
        <f ca="1">MIN(IF(AND(MONTH(A289)=5,'ÖNYP kalkulátor'!$IU$6="igen"),(M289+N289)*12/(1+IF('ÖNYP kalkulátor'!$C$16="nem",0,VLOOKUP(YEAR(A289),'ÖNYP kalkulátor'!$E$15:$J$75,4)))*0.2,0),R289)</f>
        <v>0</v>
      </c>
      <c r="T289" s="4">
        <f ca="1">(1+VLOOKUP(YEAR(A289),'ÖNYP kalkulátor'!$E$15:$F$75,2,FALSE)+VLOOKUP(YEAR(A289),'ÖNYP kalkulátor'!$E$15:$I$75,5,FALSE))^(1/12)-1</f>
        <v>4.0741237836483535E-3</v>
      </c>
      <c r="U289" s="8">
        <f t="shared" ca="1" si="51"/>
        <v>141079.28142581278</v>
      </c>
      <c r="V289" s="14">
        <f t="shared" ca="1" si="52"/>
        <v>34769207.663788587</v>
      </c>
      <c r="W289" s="8">
        <f t="shared" ca="1" si="53"/>
        <v>17118872.742446162</v>
      </c>
    </row>
    <row r="290" spans="1:23" x14ac:dyDescent="0.2">
      <c r="A290" s="6">
        <f t="shared" ca="1" si="57"/>
        <v>54393</v>
      </c>
      <c r="B290" s="12">
        <f t="shared" ca="1" si="58"/>
        <v>12</v>
      </c>
      <c r="C290" s="7">
        <f ca="1">(YEAR(A290)-YEAR('ÖNYP kalkulátor'!$C$10))+(MONTH(CF!A290)-MONTH('ÖNYP kalkulátor'!$C$10)-1)/12</f>
        <v>67.5</v>
      </c>
      <c r="D290" s="4">
        <f ca="1">(1+VLOOKUP(YEAR(A290),'ÖNYP kalkulátor'!$E$15:$F$75,2,FALSE))^(1/12)-1</f>
        <v>2.4662697723036864E-3</v>
      </c>
      <c r="E290" s="4">
        <f t="shared" ca="1" si="49"/>
        <v>2.0360545016047724</v>
      </c>
      <c r="F290" s="8">
        <f t="shared" ca="1" si="50"/>
        <v>34769207.663788587</v>
      </c>
      <c r="G290" s="8">
        <v>10000</v>
      </c>
      <c r="H290" s="8">
        <v>250000</v>
      </c>
      <c r="I290" s="8">
        <v>500000</v>
      </c>
      <c r="J290" s="8">
        <v>750000</v>
      </c>
      <c r="K290" s="8"/>
      <c r="L290" s="4">
        <f ca="1">+IF('ÖNYP kalkulátor'!$C$16="nem",0,
IF(MONTH(A290)=1,VLOOKUP(YEAR(A290),'ÖNYP kalkulátor'!$E$15:$J$75,4),0))</f>
        <v>0</v>
      </c>
      <c r="M290" s="8">
        <f t="shared" ca="1" si="59"/>
        <v>60983.82319381211</v>
      </c>
      <c r="N290" s="8">
        <f t="shared" ca="1" si="60"/>
        <v>20327.941064604045</v>
      </c>
      <c r="O290" s="8">
        <f t="shared" ca="1" si="54"/>
        <v>975741.17110099434</v>
      </c>
      <c r="P290" s="8">
        <f t="shared" ca="1" si="55"/>
        <v>941712.46524548938</v>
      </c>
      <c r="Q290" s="8">
        <f t="shared" ca="1" si="56"/>
        <v>80905.205437124125</v>
      </c>
      <c r="R290" s="13">
        <v>150000</v>
      </c>
      <c r="S290" s="13">
        <f ca="1">MIN(IF(AND(MONTH(A290)=5,'ÖNYP kalkulátor'!$IU$6="igen"),(M290+N290)*12/(1+IF('ÖNYP kalkulátor'!$C$16="nem",0,VLOOKUP(YEAR(A290),'ÖNYP kalkulátor'!$E$15:$J$75,4)))*0.2,0),R290)</f>
        <v>0</v>
      </c>
      <c r="T290" s="4">
        <f ca="1">(1+VLOOKUP(YEAR(A290),'ÖNYP kalkulátor'!$E$15:$F$75,2,FALSE)+VLOOKUP(YEAR(A290),'ÖNYP kalkulátor'!$E$15:$I$75,5,FALSE))^(1/12)-1</f>
        <v>4.0741237836483535E-3</v>
      </c>
      <c r="U290" s="8">
        <f t="shared" ca="1" si="51"/>
        <v>141983.67370334204</v>
      </c>
      <c r="V290" s="14">
        <f t="shared" ca="1" si="52"/>
        <v>34992096.542929053</v>
      </c>
      <c r="W290" s="8">
        <f t="shared" ca="1" si="53"/>
        <v>17186227.831990287</v>
      </c>
    </row>
    <row r="291" spans="1:23" x14ac:dyDescent="0.2">
      <c r="A291" s="6">
        <f t="shared" ca="1" si="57"/>
        <v>54424</v>
      </c>
      <c r="B291" s="12">
        <f t="shared" ca="1" si="58"/>
        <v>1</v>
      </c>
      <c r="C291" s="7">
        <f ca="1">(YEAR(A291)-YEAR('ÖNYP kalkulátor'!$C$10))+(MONTH(CF!A291)-MONTH('ÖNYP kalkulátor'!$C$10)-1)/12</f>
        <v>67.583333333333329</v>
      </c>
      <c r="D291" s="4">
        <f ca="1">(1+VLOOKUP(YEAR(A291),'ÖNYP kalkulátor'!$E$15:$F$75,2,FALSE))^(1/12)-1</f>
        <v>2.4662697723036864E-3</v>
      </c>
      <c r="E291" s="4">
        <f t="shared" ca="1" si="49"/>
        <v>2.0410759612768432</v>
      </c>
      <c r="F291" s="8">
        <f t="shared" ca="1" si="50"/>
        <v>34992096.542929053</v>
      </c>
      <c r="G291" s="8">
        <v>10000</v>
      </c>
      <c r="H291" s="8">
        <v>250000</v>
      </c>
      <c r="I291" s="8">
        <v>500000</v>
      </c>
      <c r="J291" s="8">
        <v>750000</v>
      </c>
      <c r="K291" s="8"/>
      <c r="L291" s="4">
        <f ca="1">+IF('ÖNYP kalkulátor'!$C$16="nem",0,
IF(MONTH(A291)=1,VLOOKUP(YEAR(A291),'ÖNYP kalkulátor'!$E$15:$J$75,4),0))</f>
        <v>0.03</v>
      </c>
      <c r="M291" s="8">
        <f t="shared" ca="1" si="59"/>
        <v>62813.337889626477</v>
      </c>
      <c r="N291" s="8">
        <f t="shared" ca="1" si="60"/>
        <v>20937.779296542169</v>
      </c>
      <c r="O291" s="8">
        <f t="shared" ca="1" si="54"/>
        <v>83751.117186168645</v>
      </c>
      <c r="P291" s="8">
        <f t="shared" ca="1" si="55"/>
        <v>78326.05015499852</v>
      </c>
      <c r="Q291" s="8">
        <f t="shared" ca="1" si="56"/>
        <v>78326.05015499852</v>
      </c>
      <c r="R291" s="13">
        <v>150000</v>
      </c>
      <c r="S291" s="13">
        <f ca="1">MIN(IF(AND(MONTH(A291)=5,'ÖNYP kalkulátor'!$IU$6="igen"),(M291+N291)*12/(1+IF('ÖNYP kalkulátor'!$C$16="nem",0,VLOOKUP(YEAR(A291),'ÖNYP kalkulátor'!$E$15:$J$75,4)))*0.2,0),R291)</f>
        <v>0</v>
      </c>
      <c r="T291" s="4">
        <f ca="1">(1+VLOOKUP(YEAR(A291),'ÖNYP kalkulátor'!$E$15:$F$75,2,FALSE)+VLOOKUP(YEAR(A291),'ÖNYP kalkulátor'!$E$15:$I$75,5,FALSE))^(1/12)-1</f>
        <v>4.0741237836483535E-3</v>
      </c>
      <c r="U291" s="8">
        <f t="shared" ca="1" si="51"/>
        <v>142881.24278908229</v>
      </c>
      <c r="V291" s="14">
        <f t="shared" ca="1" si="52"/>
        <v>35213303.835873134</v>
      </c>
      <c r="W291" s="8">
        <f t="shared" ca="1" si="53"/>
        <v>17252324.021220956</v>
      </c>
    </row>
    <row r="292" spans="1:23" x14ac:dyDescent="0.2">
      <c r="A292" s="6">
        <f t="shared" ca="1" si="57"/>
        <v>54455</v>
      </c>
      <c r="B292" s="12">
        <f t="shared" ca="1" si="58"/>
        <v>2</v>
      </c>
      <c r="C292" s="7">
        <f ca="1">(YEAR(A292)-YEAR('ÖNYP kalkulátor'!$C$10))+(MONTH(CF!A292)-MONTH('ÖNYP kalkulátor'!$C$10)-1)/12</f>
        <v>67.666666666666671</v>
      </c>
      <c r="D292" s="4">
        <f ca="1">(1+VLOOKUP(YEAR(A292),'ÖNYP kalkulátor'!$E$15:$F$75,2,FALSE))^(1/12)-1</f>
        <v>2.4662697723036864E-3</v>
      </c>
      <c r="E292" s="4">
        <f t="shared" ca="1" si="49"/>
        <v>2.0461098052231161</v>
      </c>
      <c r="F292" s="8">
        <f t="shared" ca="1" si="50"/>
        <v>35213303.835873134</v>
      </c>
      <c r="G292" s="8">
        <v>10000</v>
      </c>
      <c r="H292" s="8">
        <v>250000</v>
      </c>
      <c r="I292" s="8">
        <v>500000</v>
      </c>
      <c r="J292" s="8">
        <v>750000</v>
      </c>
      <c r="K292" s="8"/>
      <c r="L292" s="4">
        <f ca="1">+IF('ÖNYP kalkulátor'!$C$16="nem",0,
IF(MONTH(A292)=1,VLOOKUP(YEAR(A292),'ÖNYP kalkulátor'!$E$15:$J$75,4),0))</f>
        <v>0</v>
      </c>
      <c r="M292" s="8">
        <f t="shared" ca="1" si="59"/>
        <v>62813.337889626477</v>
      </c>
      <c r="N292" s="8">
        <f t="shared" ca="1" si="60"/>
        <v>20937.779296542169</v>
      </c>
      <c r="O292" s="8">
        <f t="shared" ca="1" si="54"/>
        <v>167502.23437233729</v>
      </c>
      <c r="P292" s="8">
        <f t="shared" ca="1" si="55"/>
        <v>157052.10030999704</v>
      </c>
      <c r="Q292" s="8">
        <f t="shared" ca="1" si="56"/>
        <v>78726.05015499852</v>
      </c>
      <c r="R292" s="13">
        <v>150000</v>
      </c>
      <c r="S292" s="13">
        <f ca="1">MIN(IF(AND(MONTH(A292)=5,'ÖNYP kalkulátor'!$IU$6="igen"),(M292+N292)*12/(1+IF('ÖNYP kalkulátor'!$C$16="nem",0,VLOOKUP(YEAR(A292),'ÖNYP kalkulátor'!$E$15:$J$75,4)))*0.2,0),R292)</f>
        <v>0</v>
      </c>
      <c r="T292" s="4">
        <f ca="1">(1+VLOOKUP(YEAR(A292),'ÖNYP kalkulátor'!$E$15:$F$75,2,FALSE)+VLOOKUP(YEAR(A292),'ÖNYP kalkulátor'!$E$15:$I$75,5,FALSE))^(1/12)-1</f>
        <v>4.0741237836483535E-3</v>
      </c>
      <c r="U292" s="8">
        <f t="shared" ca="1" si="51"/>
        <v>143784.09833189572</v>
      </c>
      <c r="V292" s="14">
        <f t="shared" ca="1" si="52"/>
        <v>35435813.984360032</v>
      </c>
      <c r="W292" s="8">
        <f t="shared" ca="1" si="53"/>
        <v>17318627.716803286</v>
      </c>
    </row>
    <row r="293" spans="1:23" x14ac:dyDescent="0.2">
      <c r="A293" s="6">
        <f t="shared" ca="1" si="57"/>
        <v>54483</v>
      </c>
      <c r="B293" s="12">
        <f t="shared" ca="1" si="58"/>
        <v>3</v>
      </c>
      <c r="C293" s="7">
        <f ca="1">(YEAR(A293)-YEAR('ÖNYP kalkulátor'!$C$10))+(MONTH(CF!A293)-MONTH('ÖNYP kalkulátor'!$C$10)-1)/12</f>
        <v>67.75</v>
      </c>
      <c r="D293" s="4">
        <f ca="1">(1+VLOOKUP(YEAR(A293),'ÖNYP kalkulátor'!$E$15:$F$75,2,FALSE))^(1/12)-1</f>
        <v>2.4662697723036864E-3</v>
      </c>
      <c r="E293" s="4">
        <f t="shared" ca="1" si="49"/>
        <v>2.0511560639865523</v>
      </c>
      <c r="F293" s="8">
        <f t="shared" ca="1" si="50"/>
        <v>35435813.984360032</v>
      </c>
      <c r="G293" s="8">
        <v>10000</v>
      </c>
      <c r="H293" s="8">
        <v>250000</v>
      </c>
      <c r="I293" s="8">
        <v>500000</v>
      </c>
      <c r="J293" s="8">
        <v>750000</v>
      </c>
      <c r="K293" s="8"/>
      <c r="L293" s="4">
        <f ca="1">+IF('ÖNYP kalkulátor'!$C$16="nem",0,
IF(MONTH(A293)=1,VLOOKUP(YEAR(A293),'ÖNYP kalkulátor'!$E$15:$J$75,4),0))</f>
        <v>0</v>
      </c>
      <c r="M293" s="8">
        <f t="shared" ca="1" si="59"/>
        <v>62813.337889626477</v>
      </c>
      <c r="N293" s="8">
        <f t="shared" ca="1" si="60"/>
        <v>20937.779296542169</v>
      </c>
      <c r="O293" s="8">
        <f t="shared" ca="1" si="54"/>
        <v>251253.35155850594</v>
      </c>
      <c r="P293" s="8">
        <f t="shared" ca="1" si="55"/>
        <v>235790.68398058065</v>
      </c>
      <c r="Q293" s="8">
        <f t="shared" ca="1" si="56"/>
        <v>78738.583670583612</v>
      </c>
      <c r="R293" s="13">
        <v>150000</v>
      </c>
      <c r="S293" s="13">
        <f ca="1">MIN(IF(AND(MONTH(A293)=5,'ÖNYP kalkulátor'!$IU$6="igen"),(M293+N293)*12/(1+IF('ÖNYP kalkulátor'!$C$16="nem",0,VLOOKUP(YEAR(A293),'ÖNYP kalkulátor'!$E$15:$J$75,4)))*0.2,0),R293)</f>
        <v>0</v>
      </c>
      <c r="T293" s="4">
        <f ca="1">(1+VLOOKUP(YEAR(A293),'ÖNYP kalkulátor'!$E$15:$F$75,2,FALSE)+VLOOKUP(YEAR(A293),'ÖNYP kalkulátor'!$E$15:$I$75,5,FALSE))^(1/12)-1</f>
        <v>4.0741237836483535E-3</v>
      </c>
      <c r="U293" s="8">
        <f t="shared" ca="1" si="51"/>
        <v>144690.68328304324</v>
      </c>
      <c r="V293" s="14">
        <f t="shared" ca="1" si="52"/>
        <v>35659243.251313664</v>
      </c>
      <c r="W293" s="8">
        <f t="shared" ca="1" si="53"/>
        <v>17384948.847825676</v>
      </c>
    </row>
    <row r="294" spans="1:23" x14ac:dyDescent="0.2">
      <c r="A294" s="6">
        <f t="shared" ca="1" si="57"/>
        <v>54514</v>
      </c>
      <c r="B294" s="12">
        <f t="shared" ca="1" si="58"/>
        <v>4</v>
      </c>
      <c r="C294" s="7">
        <f ca="1">(YEAR(A294)-YEAR('ÖNYP kalkulátor'!$C$10))+(MONTH(CF!A294)-MONTH('ÖNYP kalkulátor'!$C$10)-1)/12</f>
        <v>67.833333333333329</v>
      </c>
      <c r="D294" s="4">
        <f ca="1">(1+VLOOKUP(YEAR(A294),'ÖNYP kalkulátor'!$E$15:$F$75,2,FALSE))^(1/12)-1</f>
        <v>2.4662697723036864E-3</v>
      </c>
      <c r="E294" s="4">
        <f t="shared" ca="1" si="49"/>
        <v>2.0562147681854399</v>
      </c>
      <c r="F294" s="8">
        <f t="shared" ca="1" si="50"/>
        <v>35659243.251313664</v>
      </c>
      <c r="G294" s="8">
        <v>10000</v>
      </c>
      <c r="H294" s="8">
        <v>250000</v>
      </c>
      <c r="I294" s="8">
        <v>500000</v>
      </c>
      <c r="J294" s="8">
        <v>750000</v>
      </c>
      <c r="K294" s="8"/>
      <c r="L294" s="4">
        <f ca="1">+IF('ÖNYP kalkulátor'!$C$16="nem",0,
IF(MONTH(A294)=1,VLOOKUP(YEAR(A294),'ÖNYP kalkulátor'!$E$15:$J$75,4),0))</f>
        <v>0</v>
      </c>
      <c r="M294" s="8">
        <f t="shared" ca="1" si="59"/>
        <v>62813.337889626477</v>
      </c>
      <c r="N294" s="8">
        <f t="shared" ca="1" si="60"/>
        <v>20937.779296542169</v>
      </c>
      <c r="O294" s="8">
        <f t="shared" ca="1" si="54"/>
        <v>335004.46874467458</v>
      </c>
      <c r="P294" s="8">
        <f t="shared" ca="1" si="55"/>
        <v>315354.24530744087</v>
      </c>
      <c r="Q294" s="8">
        <f t="shared" ca="1" si="56"/>
        <v>79563.561326860217</v>
      </c>
      <c r="R294" s="13">
        <v>150000</v>
      </c>
      <c r="S294" s="13">
        <f ca="1">MIN(IF(AND(MONTH(A294)=5,'ÖNYP kalkulátor'!$IU$6="igen"),(M294+N294)*12/(1+IF('ÖNYP kalkulátor'!$C$16="nem",0,VLOOKUP(YEAR(A294),'ÖNYP kalkulátor'!$E$15:$J$75,4)))*0.2,0),R294)</f>
        <v>0</v>
      </c>
      <c r="T294" s="4">
        <f ca="1">(1+VLOOKUP(YEAR(A294),'ÖNYP kalkulátor'!$E$15:$F$75,2,FALSE)+VLOOKUP(YEAR(A294),'ÖNYP kalkulátor'!$E$15:$I$75,5,FALSE))^(1/12)-1</f>
        <v>4.0741237836483535E-3</v>
      </c>
      <c r="U294" s="8">
        <f t="shared" ca="1" si="51"/>
        <v>145604.32283459257</v>
      </c>
      <c r="V294" s="14">
        <f t="shared" ca="1" si="52"/>
        <v>35884411.135475121</v>
      </c>
      <c r="W294" s="8">
        <f t="shared" ca="1" si="53"/>
        <v>17451684.372028049</v>
      </c>
    </row>
    <row r="295" spans="1:23" x14ac:dyDescent="0.2">
      <c r="A295" s="6">
        <f t="shared" ca="1" si="57"/>
        <v>54544</v>
      </c>
      <c r="B295" s="12">
        <f t="shared" ca="1" si="58"/>
        <v>5</v>
      </c>
      <c r="C295" s="7">
        <f ca="1">(YEAR(A295)-YEAR('ÖNYP kalkulátor'!$C$10))+(MONTH(CF!A295)-MONTH('ÖNYP kalkulátor'!$C$10)-1)/12</f>
        <v>67.916666666666671</v>
      </c>
      <c r="D295" s="4">
        <f ca="1">(1+VLOOKUP(YEAR(A295),'ÖNYP kalkulátor'!$E$15:$F$75,2,FALSE))^(1/12)-1</f>
        <v>2.4662697723036864E-3</v>
      </c>
      <c r="E295" s="4">
        <f t="shared" ref="E295:E358" ca="1" si="61">E294*(1+D294)</f>
        <v>2.0612859485135799</v>
      </c>
      <c r="F295" s="8">
        <f t="shared" ref="F295:F358" ca="1" si="62">+V294</f>
        <v>35884411.135475121</v>
      </c>
      <c r="G295" s="8">
        <v>10000</v>
      </c>
      <c r="H295" s="8">
        <v>250000</v>
      </c>
      <c r="I295" s="8">
        <v>500000</v>
      </c>
      <c r="J295" s="8">
        <v>750000</v>
      </c>
      <c r="K295" s="8"/>
      <c r="L295" s="4">
        <f ca="1">+IF('ÖNYP kalkulátor'!$C$16="nem",0,
IF(MONTH(A295)=1,VLOOKUP(YEAR(A295),'ÖNYP kalkulátor'!$E$15:$J$75,4),0))</f>
        <v>0</v>
      </c>
      <c r="M295" s="8">
        <f t="shared" ca="1" si="59"/>
        <v>62813.337889626477</v>
      </c>
      <c r="N295" s="8">
        <f t="shared" ca="1" si="60"/>
        <v>20937.779296542169</v>
      </c>
      <c r="O295" s="8">
        <f t="shared" ca="1" si="54"/>
        <v>418755.58593084326</v>
      </c>
      <c r="P295" s="8">
        <f t="shared" ca="1" si="55"/>
        <v>394917.80663430109</v>
      </c>
      <c r="Q295" s="8">
        <f t="shared" ca="1" si="56"/>
        <v>79563.561326860217</v>
      </c>
      <c r="R295" s="13">
        <v>150000</v>
      </c>
      <c r="S295" s="13">
        <f ca="1">MIN(IF(AND(MONTH(A295)=5,'ÖNYP kalkulátor'!$IU$6="igen"),(M295+N295)*12/(1+IF('ÖNYP kalkulátor'!$C$16="nem",0,VLOOKUP(YEAR(A295),'ÖNYP kalkulátor'!$E$15:$J$75,4)))*0.2,0),R295)</f>
        <v>150000</v>
      </c>
      <c r="T295" s="4">
        <f ca="1">(1+VLOOKUP(YEAR(A295),'ÖNYP kalkulátor'!$E$15:$F$75,2,FALSE)+VLOOKUP(YEAR(A295),'ÖNYP kalkulátor'!$E$15:$I$75,5,FALSE))^(1/12)-1</f>
        <v>4.0741237836483535E-3</v>
      </c>
      <c r="U295" s="8">
        <f t="shared" ca="1" si="51"/>
        <v>147132.8032343158</v>
      </c>
      <c r="V295" s="14">
        <f t="shared" ca="1" si="52"/>
        <v>36261107.500036299</v>
      </c>
      <c r="W295" s="8">
        <f t="shared" ca="1" si="53"/>
        <v>17591497.931756947</v>
      </c>
    </row>
    <row r="296" spans="1:23" x14ac:dyDescent="0.2">
      <c r="A296" s="6">
        <f t="shared" ca="1" si="57"/>
        <v>54575</v>
      </c>
      <c r="B296" s="12">
        <f t="shared" ca="1" si="58"/>
        <v>6</v>
      </c>
      <c r="C296" s="7">
        <f ca="1">(YEAR(A296)-YEAR('ÖNYP kalkulátor'!$C$10))+(MONTH(CF!A296)-MONTH('ÖNYP kalkulátor'!$C$10)-1)/12</f>
        <v>68</v>
      </c>
      <c r="D296" s="4">
        <f ca="1">(1+VLOOKUP(YEAR(A296),'ÖNYP kalkulátor'!$E$15:$F$75,2,FALSE))^(1/12)-1</f>
        <v>2.4662697723036864E-3</v>
      </c>
      <c r="E296" s="4">
        <f t="shared" ca="1" si="61"/>
        <v>2.0663696357404735</v>
      </c>
      <c r="F296" s="8">
        <f t="shared" ca="1" si="62"/>
        <v>36261107.500036299</v>
      </c>
      <c r="G296" s="8">
        <v>10000</v>
      </c>
      <c r="H296" s="8">
        <v>250000</v>
      </c>
      <c r="I296" s="8">
        <v>500000</v>
      </c>
      <c r="J296" s="8">
        <v>750000</v>
      </c>
      <c r="K296" s="8"/>
      <c r="L296" s="4">
        <f ca="1">+IF('ÖNYP kalkulátor'!$C$16="nem",0,
IF(MONTH(A296)=1,VLOOKUP(YEAR(A296),'ÖNYP kalkulátor'!$E$15:$J$75,4),0))</f>
        <v>0</v>
      </c>
      <c r="M296" s="8">
        <f t="shared" ca="1" si="59"/>
        <v>62813.337889626477</v>
      </c>
      <c r="N296" s="8">
        <f t="shared" ca="1" si="60"/>
        <v>20937.779296542169</v>
      </c>
      <c r="O296" s="8">
        <f t="shared" ca="1" si="54"/>
        <v>502506.70311701193</v>
      </c>
      <c r="P296" s="8">
        <f t="shared" ca="1" si="55"/>
        <v>474556.56905467168</v>
      </c>
      <c r="Q296" s="8">
        <f t="shared" ca="1" si="56"/>
        <v>79638.762420370593</v>
      </c>
      <c r="R296" s="13">
        <v>150000</v>
      </c>
      <c r="S296" s="13">
        <f ca="1">MIN(IF(AND(MONTH(A296)=5,'ÖNYP kalkulátor'!$IU$6="igen"),(M296+N296)*12/(1+IF('ÖNYP kalkulátor'!$C$16="nem",0,VLOOKUP(YEAR(A296),'ÖNYP kalkulátor'!$E$15:$J$75,4)))*0.2,0),R296)</f>
        <v>0</v>
      </c>
      <c r="T296" s="4">
        <f ca="1">(1+VLOOKUP(YEAR(A296),'ÖNYP kalkulátor'!$E$15:$F$75,2,FALSE)+VLOOKUP(YEAR(A296),'ÖNYP kalkulátor'!$E$15:$I$75,5,FALSE))^(1/12)-1</f>
        <v>4.0741237836483535E-3</v>
      </c>
      <c r="U296" s="8">
        <f t="shared" ca="1" si="51"/>
        <v>148056.69866340474</v>
      </c>
      <c r="V296" s="14">
        <f t="shared" ca="1" si="52"/>
        <v>36488802.961120076</v>
      </c>
      <c r="W296" s="8">
        <f t="shared" ca="1" si="53"/>
        <v>17658410.349242523</v>
      </c>
    </row>
    <row r="297" spans="1:23" x14ac:dyDescent="0.2">
      <c r="A297" s="6">
        <f t="shared" ca="1" si="57"/>
        <v>54605</v>
      </c>
      <c r="B297" s="12">
        <f t="shared" ca="1" si="58"/>
        <v>7</v>
      </c>
      <c r="C297" s="7">
        <f ca="1">(YEAR(A297)-YEAR('ÖNYP kalkulátor'!$C$10))+(MONTH(CF!A297)-MONTH('ÖNYP kalkulátor'!$C$10)-1)/12</f>
        <v>68.083333333333329</v>
      </c>
      <c r="D297" s="4">
        <f ca="1">(1+VLOOKUP(YEAR(A297),'ÖNYP kalkulátor'!$E$15:$F$75,2,FALSE))^(1/12)-1</f>
        <v>2.4662697723036864E-3</v>
      </c>
      <c r="E297" s="4">
        <f t="shared" ca="1" si="61"/>
        <v>2.0714658607115064</v>
      </c>
      <c r="F297" s="8">
        <f t="shared" ca="1" si="62"/>
        <v>36488802.961120076</v>
      </c>
      <c r="G297" s="8">
        <v>10000</v>
      </c>
      <c r="H297" s="8">
        <v>250000</v>
      </c>
      <c r="I297" s="8">
        <v>500000</v>
      </c>
      <c r="J297" s="8">
        <v>750000</v>
      </c>
      <c r="K297" s="8"/>
      <c r="L297" s="4">
        <f ca="1">+IF('ÖNYP kalkulátor'!$C$16="nem",0,
IF(MONTH(A297)=1,VLOOKUP(YEAR(A297),'ÖNYP kalkulátor'!$E$15:$J$75,4),0))</f>
        <v>0</v>
      </c>
      <c r="M297" s="8">
        <f t="shared" ca="1" si="59"/>
        <v>62813.337889626477</v>
      </c>
      <c r="N297" s="8">
        <f t="shared" ca="1" si="60"/>
        <v>20937.779296542169</v>
      </c>
      <c r="O297" s="8">
        <f t="shared" ca="1" si="54"/>
        <v>586257.8203031806</v>
      </c>
      <c r="P297" s="8">
        <f t="shared" ca="1" si="55"/>
        <v>556632.66389711702</v>
      </c>
      <c r="Q297" s="8">
        <f t="shared" ca="1" si="56"/>
        <v>82076.094842445338</v>
      </c>
      <c r="R297" s="13">
        <v>150000</v>
      </c>
      <c r="S297" s="13">
        <f ca="1">MIN(IF(AND(MONTH(A297)=5,'ÖNYP kalkulátor'!$IU$6="igen"),(M297+N297)*12/(1+IF('ÖNYP kalkulátor'!$C$16="nem",0,VLOOKUP(YEAR(A297),'ÖNYP kalkulátor'!$E$15:$J$75,4)))*0.2,0),R297)</f>
        <v>0</v>
      </c>
      <c r="T297" s="4">
        <f ca="1">(1+VLOOKUP(YEAR(A297),'ÖNYP kalkulátor'!$E$15:$F$75,2,FALSE)+VLOOKUP(YEAR(A297),'ÖNYP kalkulátor'!$E$15:$I$75,5,FALSE))^(1/12)-1</f>
        <v>4.0741237836483535E-3</v>
      </c>
      <c r="U297" s="8">
        <f t="shared" ca="1" si="51"/>
        <v>148994.28815082437</v>
      </c>
      <c r="V297" s="14">
        <f t="shared" ca="1" si="52"/>
        <v>36719873.34411335</v>
      </c>
      <c r="W297" s="8">
        <f t="shared" ca="1" si="53"/>
        <v>17726516.299670428</v>
      </c>
    </row>
    <row r="298" spans="1:23" x14ac:dyDescent="0.2">
      <c r="A298" s="6">
        <f t="shared" ca="1" si="57"/>
        <v>54636</v>
      </c>
      <c r="B298" s="12">
        <f t="shared" ca="1" si="58"/>
        <v>8</v>
      </c>
      <c r="C298" s="7">
        <f ca="1">(YEAR(A298)-YEAR('ÖNYP kalkulátor'!$C$10))+(MONTH(CF!A298)-MONTH('ÖNYP kalkulátor'!$C$10)-1)/12</f>
        <v>68.166666666666671</v>
      </c>
      <c r="D298" s="4">
        <f ca="1">(1+VLOOKUP(YEAR(A298),'ÖNYP kalkulátor'!$E$15:$F$75,2,FALSE))^(1/12)-1</f>
        <v>2.4662697723036864E-3</v>
      </c>
      <c r="E298" s="4">
        <f t="shared" ca="1" si="61"/>
        <v>2.0765746543481383</v>
      </c>
      <c r="F298" s="8">
        <f t="shared" ca="1" si="62"/>
        <v>36719873.34411335</v>
      </c>
      <c r="G298" s="8">
        <v>10000</v>
      </c>
      <c r="H298" s="8">
        <v>250000</v>
      </c>
      <c r="I298" s="8">
        <v>500000</v>
      </c>
      <c r="J298" s="8">
        <v>750000</v>
      </c>
      <c r="K298" s="8"/>
      <c r="L298" s="4">
        <f ca="1">+IF('ÖNYP kalkulátor'!$C$16="nem",0,
IF(MONTH(A298)=1,VLOOKUP(YEAR(A298),'ÖNYP kalkulátor'!$E$15:$J$75,4),0))</f>
        <v>0</v>
      </c>
      <c r="M298" s="8">
        <f t="shared" ca="1" si="59"/>
        <v>62813.337889626477</v>
      </c>
      <c r="N298" s="8">
        <f t="shared" ca="1" si="60"/>
        <v>20937.779296542169</v>
      </c>
      <c r="O298" s="8">
        <f t="shared" ca="1" si="54"/>
        <v>670008.93748934928</v>
      </c>
      <c r="P298" s="8">
        <f t="shared" ca="1" si="55"/>
        <v>638708.75873956224</v>
      </c>
      <c r="Q298" s="8">
        <f t="shared" ca="1" si="56"/>
        <v>82076.094842445222</v>
      </c>
      <c r="R298" s="13">
        <v>150000</v>
      </c>
      <c r="S298" s="13">
        <f ca="1">MIN(IF(AND(MONTH(A298)=5,'ÖNYP kalkulátor'!$IU$6="igen"),(M298+N298)*12/(1+IF('ÖNYP kalkulátor'!$C$16="nem",0,VLOOKUP(YEAR(A298),'ÖNYP kalkulátor'!$E$15:$J$75,4)))*0.2,0),R298)</f>
        <v>0</v>
      </c>
      <c r="T298" s="4">
        <f ca="1">(1+VLOOKUP(YEAR(A298),'ÖNYP kalkulátor'!$E$15:$F$75,2,FALSE)+VLOOKUP(YEAR(A298),'ÖNYP kalkulátor'!$E$15:$I$75,5,FALSE))^(1/12)-1</f>
        <v>4.0741237836483535E-3</v>
      </c>
      <c r="U298" s="8">
        <f t="shared" ca="1" si="51"/>
        <v>149935.697493874</v>
      </c>
      <c r="V298" s="14">
        <f t="shared" ca="1" si="52"/>
        <v>36951885.136449672</v>
      </c>
      <c r="W298" s="8">
        <f t="shared" ca="1" si="53"/>
        <v>17794633.609283511</v>
      </c>
    </row>
    <row r="299" spans="1:23" x14ac:dyDescent="0.2">
      <c r="A299" s="6">
        <f t="shared" ca="1" si="57"/>
        <v>54667</v>
      </c>
      <c r="B299" s="12">
        <f t="shared" ca="1" si="58"/>
        <v>9</v>
      </c>
      <c r="C299" s="7">
        <f ca="1">(YEAR(A299)-YEAR('ÖNYP kalkulátor'!$C$10))+(MONTH(CF!A299)-MONTH('ÖNYP kalkulátor'!$C$10)-1)/12</f>
        <v>68.25</v>
      </c>
      <c r="D299" s="4">
        <f ca="1">(1+VLOOKUP(YEAR(A299),'ÖNYP kalkulátor'!$E$15:$F$75,2,FALSE))^(1/12)-1</f>
        <v>2.4662697723036864E-3</v>
      </c>
      <c r="E299" s="4">
        <f t="shared" ca="1" si="61"/>
        <v>2.081696047648089</v>
      </c>
      <c r="F299" s="8">
        <f t="shared" ca="1" si="62"/>
        <v>36951885.136449672</v>
      </c>
      <c r="G299" s="8">
        <v>10000</v>
      </c>
      <c r="H299" s="8">
        <v>250000</v>
      </c>
      <c r="I299" s="8">
        <v>500000</v>
      </c>
      <c r="J299" s="8">
        <v>750000</v>
      </c>
      <c r="K299" s="8"/>
      <c r="L299" s="4">
        <f ca="1">+IF('ÖNYP kalkulátor'!$C$16="nem",0,
IF(MONTH(A299)=1,VLOOKUP(YEAR(A299),'ÖNYP kalkulátor'!$E$15:$J$75,4),0))</f>
        <v>0</v>
      </c>
      <c r="M299" s="8">
        <f t="shared" ca="1" si="59"/>
        <v>62813.337889626477</v>
      </c>
      <c r="N299" s="8">
        <f t="shared" ca="1" si="60"/>
        <v>20937.779296542169</v>
      </c>
      <c r="O299" s="8">
        <f t="shared" ca="1" si="54"/>
        <v>753760.05467551795</v>
      </c>
      <c r="P299" s="8">
        <f t="shared" ca="1" si="55"/>
        <v>720841.25440214039</v>
      </c>
      <c r="Q299" s="8">
        <f t="shared" ca="1" si="56"/>
        <v>82132.495662578149</v>
      </c>
      <c r="R299" s="13">
        <v>150000</v>
      </c>
      <c r="S299" s="13">
        <f ca="1">MIN(IF(AND(MONTH(A299)=5,'ÖNYP kalkulátor'!$IU$6="igen"),(M299+N299)*12/(1+IF('ÖNYP kalkulátor'!$C$16="nem",0,VLOOKUP(YEAR(A299),'ÖNYP kalkulátor'!$E$15:$J$75,4)))*0.2,0),R299)</f>
        <v>0</v>
      </c>
      <c r="T299" s="4">
        <f ca="1">(1+VLOOKUP(YEAR(A299),'ÖNYP kalkulátor'!$E$15:$F$75,2,FALSE)+VLOOKUP(YEAR(A299),'ÖNYP kalkulátor'!$E$15:$I$75,5,FALSE))^(1/12)-1</f>
        <v>4.0741237836483535E-3</v>
      </c>
      <c r="U299" s="8">
        <f t="shared" ca="1" si="51"/>
        <v>150881.172039041</v>
      </c>
      <c r="V299" s="14">
        <f t="shared" ca="1" si="52"/>
        <v>37184898.804151289</v>
      </c>
      <c r="W299" s="8">
        <f t="shared" ca="1" si="53"/>
        <v>17862789.741164654</v>
      </c>
    </row>
    <row r="300" spans="1:23" x14ac:dyDescent="0.2">
      <c r="A300" s="6">
        <f t="shared" ca="1" si="57"/>
        <v>54697</v>
      </c>
      <c r="B300" s="12">
        <f t="shared" ca="1" si="58"/>
        <v>10</v>
      </c>
      <c r="C300" s="7">
        <f ca="1">(YEAR(A300)-YEAR('ÖNYP kalkulátor'!$C$10))+(MONTH(CF!A300)-MONTH('ÖNYP kalkulátor'!$C$10)-1)/12</f>
        <v>68.333333333333329</v>
      </c>
      <c r="D300" s="4">
        <f ca="1">(1+VLOOKUP(YEAR(A300),'ÖNYP kalkulátor'!$E$15:$F$75,2,FALSE))^(1/12)-1</f>
        <v>2.4662697723036864E-3</v>
      </c>
      <c r="E300" s="4">
        <f t="shared" ca="1" si="61"/>
        <v>2.0868300716855277</v>
      </c>
      <c r="F300" s="8">
        <f t="shared" ca="1" si="62"/>
        <v>37184898.804151289</v>
      </c>
      <c r="G300" s="8">
        <v>10000</v>
      </c>
      <c r="H300" s="8">
        <v>250000</v>
      </c>
      <c r="I300" s="8">
        <v>500000</v>
      </c>
      <c r="J300" s="8">
        <v>750000</v>
      </c>
      <c r="K300" s="8"/>
      <c r="L300" s="4">
        <f ca="1">+IF('ÖNYP kalkulátor'!$C$16="nem",0,
IF(MONTH(A300)=1,VLOOKUP(YEAR(A300),'ÖNYP kalkulátor'!$E$15:$J$75,4),0))</f>
        <v>0</v>
      </c>
      <c r="M300" s="8">
        <f t="shared" ca="1" si="59"/>
        <v>62813.337889626477</v>
      </c>
      <c r="N300" s="8">
        <f t="shared" ca="1" si="60"/>
        <v>20937.779296542169</v>
      </c>
      <c r="O300" s="8">
        <f t="shared" ca="1" si="54"/>
        <v>837511.17186168663</v>
      </c>
      <c r="P300" s="8">
        <f t="shared" ca="1" si="55"/>
        <v>804173.61600237817</v>
      </c>
      <c r="Q300" s="8">
        <f t="shared" ca="1" si="56"/>
        <v>83332.361600237782</v>
      </c>
      <c r="R300" s="13">
        <v>150000</v>
      </c>
      <c r="S300" s="13">
        <f ca="1">MIN(IF(AND(MONTH(A300)=5,'ÖNYP kalkulátor'!$IU$6="igen"),(M300+N300)*12/(1+IF('ÖNYP kalkulátor'!$C$16="nem",0,VLOOKUP(YEAR(A300),'ÖNYP kalkulátor'!$E$15:$J$75,4)))*0.2,0),R300)</f>
        <v>0</v>
      </c>
      <c r="T300" s="4">
        <f ca="1">(1+VLOOKUP(YEAR(A300),'ÖNYP kalkulátor'!$E$15:$F$75,2,FALSE)+VLOOKUP(YEAR(A300),'ÖNYP kalkulátor'!$E$15:$I$75,5,FALSE))^(1/12)-1</f>
        <v>4.0741237836483535E-3</v>
      </c>
      <c r="U300" s="8">
        <f t="shared" ca="1" si="51"/>
        <v>151835.3869668931</v>
      </c>
      <c r="V300" s="14">
        <f t="shared" ca="1" si="52"/>
        <v>37420066.552718416</v>
      </c>
      <c r="W300" s="8">
        <f t="shared" ca="1" si="53"/>
        <v>17931535.03988675</v>
      </c>
    </row>
    <row r="301" spans="1:23" x14ac:dyDescent="0.2">
      <c r="A301" s="6">
        <f t="shared" ca="1" si="57"/>
        <v>54728</v>
      </c>
      <c r="B301" s="12">
        <f t="shared" ca="1" si="58"/>
        <v>11</v>
      </c>
      <c r="C301" s="7">
        <f ca="1">(YEAR(A301)-YEAR('ÖNYP kalkulátor'!$C$10))+(MONTH(CF!A301)-MONTH('ÖNYP kalkulátor'!$C$10)-1)/12</f>
        <v>68.416666666666671</v>
      </c>
      <c r="D301" s="4">
        <f ca="1">(1+VLOOKUP(YEAR(A301),'ÖNYP kalkulátor'!$E$15:$F$75,2,FALSE))^(1/12)-1</f>
        <v>2.4662697723036864E-3</v>
      </c>
      <c r="E301" s="4">
        <f t="shared" ca="1" si="61"/>
        <v>2.0919767576112602</v>
      </c>
      <c r="F301" s="8">
        <f t="shared" ca="1" si="62"/>
        <v>37420066.552718416</v>
      </c>
      <c r="G301" s="8">
        <v>10000</v>
      </c>
      <c r="H301" s="8">
        <v>250000</v>
      </c>
      <c r="I301" s="8">
        <v>500000</v>
      </c>
      <c r="J301" s="8">
        <v>750000</v>
      </c>
      <c r="K301" s="8"/>
      <c r="L301" s="4">
        <f ca="1">+IF('ÖNYP kalkulátor'!$C$16="nem",0,
IF(MONTH(A301)=1,VLOOKUP(YEAR(A301),'ÖNYP kalkulátor'!$E$15:$J$75,4),0))</f>
        <v>0</v>
      </c>
      <c r="M301" s="8">
        <f t="shared" ca="1" si="59"/>
        <v>62813.337889626477</v>
      </c>
      <c r="N301" s="8">
        <f t="shared" ca="1" si="60"/>
        <v>20937.779296542169</v>
      </c>
      <c r="O301" s="8">
        <f t="shared" ca="1" si="54"/>
        <v>921262.2890478553</v>
      </c>
      <c r="P301" s="8">
        <f t="shared" ca="1" si="55"/>
        <v>887505.97760261595</v>
      </c>
      <c r="Q301" s="8">
        <f t="shared" ca="1" si="56"/>
        <v>83332.361600237782</v>
      </c>
      <c r="R301" s="13">
        <v>150000</v>
      </c>
      <c r="S301" s="13">
        <f ca="1">MIN(IF(AND(MONTH(A301)=5,'ÖNYP kalkulátor'!$IU$6="igen"),(M301+N301)*12/(1+IF('ÖNYP kalkulátor'!$C$16="nem",0,VLOOKUP(YEAR(A301),'ÖNYP kalkulátor'!$E$15:$J$75,4)))*0.2,0),R301)</f>
        <v>0</v>
      </c>
      <c r="T301" s="4">
        <f ca="1">(1+VLOOKUP(YEAR(A301),'ÖNYP kalkulátor'!$E$15:$F$75,2,FALSE)+VLOOKUP(YEAR(A301),'ÖNYP kalkulátor'!$E$15:$I$75,5,FALSE))^(1/12)-1</f>
        <v>4.0741237836483535E-3</v>
      </c>
      <c r="U301" s="8">
        <f t="shared" ca="1" si="51"/>
        <v>152793.48948447747</v>
      </c>
      <c r="V301" s="14">
        <f t="shared" ca="1" si="52"/>
        <v>37656192.403803125</v>
      </c>
      <c r="W301" s="8">
        <f t="shared" ca="1" si="53"/>
        <v>18000291.956781171</v>
      </c>
    </row>
    <row r="302" spans="1:23" x14ac:dyDescent="0.2">
      <c r="A302" s="6">
        <f t="shared" ca="1" si="57"/>
        <v>54758</v>
      </c>
      <c r="B302" s="12">
        <f t="shared" ca="1" si="58"/>
        <v>12</v>
      </c>
      <c r="C302" s="7">
        <f ca="1">(YEAR(A302)-YEAR('ÖNYP kalkulátor'!$C$10))+(MONTH(CF!A302)-MONTH('ÖNYP kalkulátor'!$C$10)-1)/12</f>
        <v>68.5</v>
      </c>
      <c r="D302" s="4">
        <f ca="1">(1+VLOOKUP(YEAR(A302),'ÖNYP kalkulátor'!$E$15:$F$75,2,FALSE))^(1/12)-1</f>
        <v>2.4662697723036864E-3</v>
      </c>
      <c r="E302" s="4">
        <f t="shared" ca="1" si="61"/>
        <v>2.0971361366529186</v>
      </c>
      <c r="F302" s="8">
        <f t="shared" ca="1" si="62"/>
        <v>37656192.403803125</v>
      </c>
      <c r="G302" s="8">
        <v>10000</v>
      </c>
      <c r="H302" s="8">
        <v>250000</v>
      </c>
      <c r="I302" s="8">
        <v>500000</v>
      </c>
      <c r="J302" s="8">
        <v>750000</v>
      </c>
      <c r="K302" s="8"/>
      <c r="L302" s="4">
        <f ca="1">+IF('ÖNYP kalkulátor'!$C$16="nem",0,
IF(MONTH(A302)=1,VLOOKUP(YEAR(A302),'ÖNYP kalkulátor'!$E$15:$J$75,4),0))</f>
        <v>0</v>
      </c>
      <c r="M302" s="8">
        <f t="shared" ca="1" si="59"/>
        <v>62813.337889626477</v>
      </c>
      <c r="N302" s="8">
        <f t="shared" ca="1" si="60"/>
        <v>20937.779296542169</v>
      </c>
      <c r="O302" s="8">
        <f t="shared" ca="1" si="54"/>
        <v>1005013.406234024</v>
      </c>
      <c r="P302" s="8">
        <f t="shared" ca="1" si="55"/>
        <v>970838.33920285385</v>
      </c>
      <c r="Q302" s="8">
        <f t="shared" ca="1" si="56"/>
        <v>83332.361600237899</v>
      </c>
      <c r="R302" s="13">
        <v>150000</v>
      </c>
      <c r="S302" s="13">
        <f ca="1">MIN(IF(AND(MONTH(A302)=5,'ÖNYP kalkulátor'!$IU$6="igen"),(M302+N302)*12/(1+IF('ÖNYP kalkulátor'!$C$16="nem",0,VLOOKUP(YEAR(A302),'ÖNYP kalkulátor'!$E$15:$J$75,4)))*0.2,0),R302)</f>
        <v>0</v>
      </c>
      <c r="T302" s="4">
        <f ca="1">(1+VLOOKUP(YEAR(A302),'ÖNYP kalkulátor'!$E$15:$F$75,2,FALSE)+VLOOKUP(YEAR(A302),'ÖNYP kalkulátor'!$E$15:$I$75,5,FALSE))^(1/12)-1</f>
        <v>4.0741237836483535E-3</v>
      </c>
      <c r="U302" s="8">
        <f t="shared" ca="1" si="51"/>
        <v>153755.49543031587</v>
      </c>
      <c r="V302" s="14">
        <f t="shared" ca="1" si="52"/>
        <v>37893280.260833673</v>
      </c>
      <c r="W302" s="8">
        <f t="shared" ca="1" si="53"/>
        <v>18069060.753162306</v>
      </c>
    </row>
    <row r="303" spans="1:23" x14ac:dyDescent="0.2">
      <c r="A303" s="6">
        <f t="shared" ca="1" si="57"/>
        <v>54789</v>
      </c>
      <c r="B303" s="12">
        <f t="shared" ca="1" si="58"/>
        <v>1</v>
      </c>
      <c r="C303" s="7">
        <f ca="1">(YEAR(A303)-YEAR('ÖNYP kalkulátor'!$C$10))+(MONTH(CF!A303)-MONTH('ÖNYP kalkulátor'!$C$10)-1)/12</f>
        <v>68.583333333333329</v>
      </c>
      <c r="D303" s="4">
        <f ca="1">(1+VLOOKUP(YEAR(A303),'ÖNYP kalkulátor'!$E$15:$F$75,2,FALSE))^(1/12)-1</f>
        <v>2.4662697723036864E-3</v>
      </c>
      <c r="E303" s="4">
        <f t="shared" ca="1" si="61"/>
        <v>2.1023082401151516</v>
      </c>
      <c r="F303" s="8">
        <f t="shared" ca="1" si="62"/>
        <v>37893280.260833673</v>
      </c>
      <c r="G303" s="8">
        <v>10000</v>
      </c>
      <c r="H303" s="8">
        <v>250000</v>
      </c>
      <c r="I303" s="8">
        <v>500000</v>
      </c>
      <c r="J303" s="8">
        <v>750000</v>
      </c>
      <c r="K303" s="8"/>
      <c r="L303" s="4">
        <f ca="1">+IF('ÖNYP kalkulátor'!$C$16="nem",0,
IF(MONTH(A303)=1,VLOOKUP(YEAR(A303),'ÖNYP kalkulátor'!$E$15:$J$75,4),0))</f>
        <v>0.03</v>
      </c>
      <c r="M303" s="8">
        <f t="shared" ca="1" si="59"/>
        <v>64697.738026315274</v>
      </c>
      <c r="N303" s="8">
        <f t="shared" ca="1" si="60"/>
        <v>21565.912675438434</v>
      </c>
      <c r="O303" s="8">
        <f t="shared" ca="1" si="54"/>
        <v>86263.650701753708</v>
      </c>
      <c r="P303" s="8">
        <f t="shared" ca="1" si="55"/>
        <v>80687.83165964848</v>
      </c>
      <c r="Q303" s="8">
        <f t="shared" ca="1" si="56"/>
        <v>80687.83165964848</v>
      </c>
      <c r="R303" s="13">
        <v>150000</v>
      </c>
      <c r="S303" s="13">
        <f ca="1">MIN(IF(AND(MONTH(A303)=5,'ÖNYP kalkulátor'!$IU$6="igen"),(M303+N303)*12/(1+IF('ÖNYP kalkulátor'!$C$16="nem",0,VLOOKUP(YEAR(A303),'ÖNYP kalkulátor'!$E$15:$J$75,4)))*0.2,0),R303)</f>
        <v>0</v>
      </c>
      <c r="T303" s="4">
        <f ca="1">(1+VLOOKUP(YEAR(A303),'ÖNYP kalkulátor'!$E$15:$F$75,2,FALSE)+VLOOKUP(YEAR(A303),'ÖNYP kalkulátor'!$E$15:$I$75,5,FALSE))^(1/12)-1</f>
        <v>4.0741237836483535E-3</v>
      </c>
      <c r="U303" s="8">
        <f t="shared" ca="1" si="51"/>
        <v>154710.64656513074</v>
      </c>
      <c r="V303" s="14">
        <f t="shared" ca="1" si="52"/>
        <v>38128678.73905845</v>
      </c>
      <c r="W303" s="8">
        <f t="shared" ca="1" si="53"/>
        <v>18136578.647938892</v>
      </c>
    </row>
    <row r="304" spans="1:23" x14ac:dyDescent="0.2">
      <c r="A304" s="6">
        <f t="shared" ca="1" si="57"/>
        <v>54820</v>
      </c>
      <c r="B304" s="12">
        <f t="shared" ca="1" si="58"/>
        <v>2</v>
      </c>
      <c r="C304" s="7">
        <f ca="1">(YEAR(A304)-YEAR('ÖNYP kalkulátor'!$C$10))+(MONTH(CF!A304)-MONTH('ÖNYP kalkulátor'!$C$10)-1)/12</f>
        <v>68.666666666666671</v>
      </c>
      <c r="D304" s="4">
        <f ca="1">(1+VLOOKUP(YEAR(A304),'ÖNYP kalkulátor'!$E$15:$F$75,2,FALSE))^(1/12)-1</f>
        <v>2.4662697723036864E-3</v>
      </c>
      <c r="E304" s="4">
        <f t="shared" ca="1" si="61"/>
        <v>2.1074930993798127</v>
      </c>
      <c r="F304" s="8">
        <f t="shared" ca="1" si="62"/>
        <v>38128678.73905845</v>
      </c>
      <c r="G304" s="8">
        <v>10000</v>
      </c>
      <c r="H304" s="8">
        <v>250000</v>
      </c>
      <c r="I304" s="8">
        <v>500000</v>
      </c>
      <c r="J304" s="8">
        <v>750000</v>
      </c>
      <c r="K304" s="8"/>
      <c r="L304" s="4">
        <f ca="1">+IF('ÖNYP kalkulátor'!$C$16="nem",0,
IF(MONTH(A304)=1,VLOOKUP(YEAR(A304),'ÖNYP kalkulátor'!$E$15:$J$75,4),0))</f>
        <v>0</v>
      </c>
      <c r="M304" s="8">
        <f t="shared" ca="1" si="59"/>
        <v>64697.738026315274</v>
      </c>
      <c r="N304" s="8">
        <f t="shared" ca="1" si="60"/>
        <v>21565.912675438434</v>
      </c>
      <c r="O304" s="8">
        <f t="shared" ca="1" si="54"/>
        <v>172527.30140350742</v>
      </c>
      <c r="P304" s="8">
        <f t="shared" ca="1" si="55"/>
        <v>161775.66331929696</v>
      </c>
      <c r="Q304" s="8">
        <f t="shared" ca="1" si="56"/>
        <v>81087.83165964848</v>
      </c>
      <c r="R304" s="13">
        <v>150000</v>
      </c>
      <c r="S304" s="13">
        <f ca="1">MIN(IF(AND(MONTH(A304)=5,'ÖNYP kalkulátor'!$IU$6="igen"),(M304+N304)*12/(1+IF('ÖNYP kalkulátor'!$C$16="nem",0,VLOOKUP(YEAR(A304),'ÖNYP kalkulátor'!$E$15:$J$75,4)))*0.2,0),R304)</f>
        <v>0</v>
      </c>
      <c r="T304" s="4">
        <f ca="1">(1+VLOOKUP(YEAR(A304),'ÖNYP kalkulátor'!$E$15:$F$75,2,FALSE)+VLOOKUP(YEAR(A304),'ÖNYP kalkulátor'!$E$15:$I$75,5,FALSE))^(1/12)-1</f>
        <v>4.0741237836483535E-3</v>
      </c>
      <c r="U304" s="8">
        <f t="shared" ca="1" si="51"/>
        <v>155671.31875341438</v>
      </c>
      <c r="V304" s="14">
        <f t="shared" ca="1" si="52"/>
        <v>38365437.889471509</v>
      </c>
      <c r="W304" s="8">
        <f t="shared" ca="1" si="53"/>
        <v>18204300.598071512</v>
      </c>
    </row>
    <row r="305" spans="1:23" x14ac:dyDescent="0.2">
      <c r="A305" s="6">
        <f t="shared" ca="1" si="57"/>
        <v>54848</v>
      </c>
      <c r="B305" s="12">
        <f t="shared" ca="1" si="58"/>
        <v>3</v>
      </c>
      <c r="C305" s="7">
        <f ca="1">(YEAR(A305)-YEAR('ÖNYP kalkulátor'!$C$10))+(MONTH(CF!A305)-MONTH('ÖNYP kalkulátor'!$C$10)-1)/12</f>
        <v>68.75</v>
      </c>
      <c r="D305" s="4">
        <f ca="1">(1+VLOOKUP(YEAR(A305),'ÖNYP kalkulátor'!$E$15:$F$75,2,FALSE))^(1/12)-1</f>
        <v>2.4662697723036864E-3</v>
      </c>
      <c r="E305" s="4">
        <f t="shared" ca="1" si="61"/>
        <v>2.1126907459061517</v>
      </c>
      <c r="F305" s="8">
        <f t="shared" ca="1" si="62"/>
        <v>38365437.889471509</v>
      </c>
      <c r="G305" s="8">
        <v>10000</v>
      </c>
      <c r="H305" s="8">
        <v>250000</v>
      </c>
      <c r="I305" s="8">
        <v>500000</v>
      </c>
      <c r="J305" s="8">
        <v>750000</v>
      </c>
      <c r="K305" s="8"/>
      <c r="L305" s="4">
        <f ca="1">+IF('ÖNYP kalkulátor'!$C$16="nem",0,
IF(MONTH(A305)=1,VLOOKUP(YEAR(A305),'ÖNYP kalkulátor'!$E$15:$J$75,4),0))</f>
        <v>0</v>
      </c>
      <c r="M305" s="8">
        <f t="shared" ca="1" si="59"/>
        <v>64697.738026315274</v>
      </c>
      <c r="N305" s="8">
        <f t="shared" ca="1" si="60"/>
        <v>21565.912675438434</v>
      </c>
      <c r="O305" s="8">
        <f t="shared" ca="1" si="54"/>
        <v>258790.95210526115</v>
      </c>
      <c r="P305" s="8">
        <f t="shared" ca="1" si="55"/>
        <v>242951.40449999808</v>
      </c>
      <c r="Q305" s="8">
        <f t="shared" ca="1" si="56"/>
        <v>81175.741180701123</v>
      </c>
      <c r="R305" s="13">
        <v>150000</v>
      </c>
      <c r="S305" s="13">
        <f ca="1">MIN(IF(AND(MONTH(A305)=5,'ÖNYP kalkulátor'!$IU$6="igen"),(M305+N305)*12/(1+IF('ÖNYP kalkulátor'!$C$16="nem",0,VLOOKUP(YEAR(A305),'ÖNYP kalkulátor'!$E$15:$J$75,4)))*0.2,0),R305)</f>
        <v>0</v>
      </c>
      <c r="T305" s="4">
        <f ca="1">(1+VLOOKUP(YEAR(A305),'ÖNYP kalkulátor'!$E$15:$F$75,2,FALSE)+VLOOKUP(YEAR(A305),'ÖNYP kalkulátor'!$E$15:$I$75,5,FALSE))^(1/12)-1</f>
        <v>4.0741237836483535E-3</v>
      </c>
      <c r="U305" s="8">
        <f t="shared" ca="1" si="51"/>
        <v>156636.26299337915</v>
      </c>
      <c r="V305" s="14">
        <f t="shared" ca="1" si="52"/>
        <v>38603249.893645592</v>
      </c>
      <c r="W305" s="8">
        <f t="shared" ca="1" si="53"/>
        <v>18272077.902763907</v>
      </c>
    </row>
    <row r="306" spans="1:23" x14ac:dyDescent="0.2">
      <c r="A306" s="6">
        <f t="shared" ca="1" si="57"/>
        <v>54879</v>
      </c>
      <c r="B306" s="12">
        <f t="shared" ca="1" si="58"/>
        <v>4</v>
      </c>
      <c r="C306" s="7">
        <f ca="1">(YEAR(A306)-YEAR('ÖNYP kalkulátor'!$C$10))+(MONTH(CF!A306)-MONTH('ÖNYP kalkulátor'!$C$10)-1)/12</f>
        <v>68.833333333333329</v>
      </c>
      <c r="D306" s="4">
        <f ca="1">(1+VLOOKUP(YEAR(A306),'ÖNYP kalkulátor'!$E$15:$F$75,2,FALSE))^(1/12)-1</f>
        <v>2.4662697723036864E-3</v>
      </c>
      <c r="E306" s="4">
        <f t="shared" ca="1" si="61"/>
        <v>2.1179012112310058</v>
      </c>
      <c r="F306" s="8">
        <f t="shared" ca="1" si="62"/>
        <v>38603249.893645592</v>
      </c>
      <c r="G306" s="8">
        <v>10000</v>
      </c>
      <c r="H306" s="8">
        <v>250000</v>
      </c>
      <c r="I306" s="8">
        <v>500000</v>
      </c>
      <c r="J306" s="8">
        <v>750000</v>
      </c>
      <c r="K306" s="8"/>
      <c r="L306" s="4">
        <f ca="1">+IF('ÖNYP kalkulátor'!$C$16="nem",0,
IF(MONTH(A306)=1,VLOOKUP(YEAR(A306),'ÖNYP kalkulátor'!$E$15:$J$75,4),0))</f>
        <v>0</v>
      </c>
      <c r="M306" s="8">
        <f t="shared" ca="1" si="59"/>
        <v>64697.738026315274</v>
      </c>
      <c r="N306" s="8">
        <f t="shared" ca="1" si="60"/>
        <v>21565.912675438434</v>
      </c>
      <c r="O306" s="8">
        <f t="shared" ca="1" si="54"/>
        <v>345054.60280701489</v>
      </c>
      <c r="P306" s="8">
        <f t="shared" ca="1" si="55"/>
        <v>324901.87266666413</v>
      </c>
      <c r="Q306" s="8">
        <f t="shared" ca="1" si="56"/>
        <v>81950.468166666047</v>
      </c>
      <c r="R306" s="13">
        <v>150000</v>
      </c>
      <c r="S306" s="13">
        <f ca="1">MIN(IF(AND(MONTH(A306)=5,'ÖNYP kalkulátor'!$IU$6="igen"),(M306+N306)*12/(1+IF('ÖNYP kalkulátor'!$C$16="nem",0,VLOOKUP(YEAR(A306),'ÖNYP kalkulátor'!$E$15:$J$75,4)))*0.2,0),R306)</f>
        <v>0</v>
      </c>
      <c r="T306" s="4">
        <f ca="1">(1+VLOOKUP(YEAR(A306),'ÖNYP kalkulátor'!$E$15:$F$75,2,FALSE)+VLOOKUP(YEAR(A306),'ÖNYP kalkulátor'!$E$15:$I$75,5,FALSE))^(1/12)-1</f>
        <v>4.0741237836483535E-3</v>
      </c>
      <c r="U306" s="8">
        <f t="shared" ca="1" si="51"/>
        <v>157608.29486926121</v>
      </c>
      <c r="V306" s="14">
        <f t="shared" ca="1" si="52"/>
        <v>38842808.656681515</v>
      </c>
      <c r="W306" s="8">
        <f t="shared" ca="1" si="53"/>
        <v>18340236.291807294</v>
      </c>
    </row>
    <row r="307" spans="1:23" x14ac:dyDescent="0.2">
      <c r="A307" s="6">
        <f t="shared" ca="1" si="57"/>
        <v>54909</v>
      </c>
      <c r="B307" s="12">
        <f t="shared" ca="1" si="58"/>
        <v>5</v>
      </c>
      <c r="C307" s="7">
        <f ca="1">(YEAR(A307)-YEAR('ÖNYP kalkulátor'!$C$10))+(MONTH(CF!A307)-MONTH('ÖNYP kalkulátor'!$C$10)-1)/12</f>
        <v>68.916666666666671</v>
      </c>
      <c r="D307" s="4">
        <f ca="1">(1+VLOOKUP(YEAR(A307),'ÖNYP kalkulátor'!$E$15:$F$75,2,FALSE))^(1/12)-1</f>
        <v>2.4662697723036864E-3</v>
      </c>
      <c r="E307" s="4">
        <f t="shared" ca="1" si="61"/>
        <v>2.12312452696899</v>
      </c>
      <c r="F307" s="8">
        <f t="shared" ca="1" si="62"/>
        <v>38842808.656681515</v>
      </c>
      <c r="G307" s="8">
        <v>10000</v>
      </c>
      <c r="H307" s="8">
        <v>250000</v>
      </c>
      <c r="I307" s="8">
        <v>500000</v>
      </c>
      <c r="J307" s="8">
        <v>750000</v>
      </c>
      <c r="K307" s="8"/>
      <c r="L307" s="4">
        <f ca="1">+IF('ÖNYP kalkulátor'!$C$16="nem",0,
IF(MONTH(A307)=1,VLOOKUP(YEAR(A307),'ÖNYP kalkulátor'!$E$15:$J$75,4),0))</f>
        <v>0</v>
      </c>
      <c r="M307" s="8">
        <f t="shared" ca="1" si="59"/>
        <v>64697.738026315274</v>
      </c>
      <c r="N307" s="8">
        <f t="shared" ca="1" si="60"/>
        <v>21565.912675438434</v>
      </c>
      <c r="O307" s="8">
        <f t="shared" ca="1" si="54"/>
        <v>431318.25350876863</v>
      </c>
      <c r="P307" s="8">
        <f t="shared" ca="1" si="55"/>
        <v>406852.34083333018</v>
      </c>
      <c r="Q307" s="8">
        <f t="shared" ca="1" si="56"/>
        <v>81950.468166666047</v>
      </c>
      <c r="R307" s="13">
        <v>150000</v>
      </c>
      <c r="S307" s="13">
        <f ca="1">MIN(IF(AND(MONTH(A307)=5,'ÖNYP kalkulátor'!$IU$6="igen"),(M307+N307)*12/(1+IF('ÖNYP kalkulátor'!$C$16="nem",0,VLOOKUP(YEAR(A307),'ÖNYP kalkulátor'!$E$15:$J$75,4)))*0.2,0),R307)</f>
        <v>150000</v>
      </c>
      <c r="T307" s="4">
        <f ca="1">(1+VLOOKUP(YEAR(A307),'ÖNYP kalkulátor'!$E$15:$F$75,2,FALSE)+VLOOKUP(YEAR(A307),'ÖNYP kalkulátor'!$E$15:$I$75,5,FALSE))^(1/12)-1</f>
        <v>4.0741237836483535E-3</v>
      </c>
      <c r="U307" s="8">
        <f t="shared" ca="1" si="51"/>
        <v>159195.40549087449</v>
      </c>
      <c r="V307" s="14">
        <f t="shared" ca="1" si="52"/>
        <v>39233954.530339055</v>
      </c>
      <c r="W307" s="8">
        <f t="shared" ca="1" si="53"/>
        <v>18479346.84563705</v>
      </c>
    </row>
    <row r="308" spans="1:23" x14ac:dyDescent="0.2">
      <c r="A308" s="6">
        <f t="shared" ca="1" si="57"/>
        <v>54940</v>
      </c>
      <c r="B308" s="12">
        <f t="shared" ca="1" si="58"/>
        <v>6</v>
      </c>
      <c r="C308" s="7">
        <f ca="1">(YEAR(A308)-YEAR('ÖNYP kalkulátor'!$C$10))+(MONTH(CF!A308)-MONTH('ÖNYP kalkulátor'!$C$10)-1)/12</f>
        <v>69</v>
      </c>
      <c r="D308" s="4">
        <f ca="1">(1+VLOOKUP(YEAR(A308),'ÖNYP kalkulátor'!$E$15:$F$75,2,FALSE))^(1/12)-1</f>
        <v>2.4662697723036864E-3</v>
      </c>
      <c r="E308" s="4">
        <f t="shared" ca="1" si="61"/>
        <v>2.1283607248126901</v>
      </c>
      <c r="F308" s="8">
        <f t="shared" ca="1" si="62"/>
        <v>39233954.530339055</v>
      </c>
      <c r="G308" s="8">
        <v>10000</v>
      </c>
      <c r="H308" s="8">
        <v>250000</v>
      </c>
      <c r="I308" s="8">
        <v>500000</v>
      </c>
      <c r="J308" s="8">
        <v>750000</v>
      </c>
      <c r="K308" s="8"/>
      <c r="L308" s="4">
        <f ca="1">+IF('ÖNYP kalkulátor'!$C$16="nem",0,
IF(MONTH(A308)=1,VLOOKUP(YEAR(A308),'ÖNYP kalkulátor'!$E$15:$J$75,4),0))</f>
        <v>0</v>
      </c>
      <c r="M308" s="8">
        <f t="shared" ca="1" si="59"/>
        <v>64697.738026315274</v>
      </c>
      <c r="N308" s="8">
        <f t="shared" ca="1" si="60"/>
        <v>21565.912675438434</v>
      </c>
      <c r="O308" s="8">
        <f t="shared" ca="1" si="54"/>
        <v>517581.90421052236</v>
      </c>
      <c r="P308" s="8">
        <f t="shared" ca="1" si="55"/>
        <v>489330.26612631191</v>
      </c>
      <c r="Q308" s="8">
        <f t="shared" ca="1" si="56"/>
        <v>82477.92529298173</v>
      </c>
      <c r="R308" s="13">
        <v>150000</v>
      </c>
      <c r="S308" s="13">
        <f ca="1">MIN(IF(AND(MONTH(A308)=5,'ÖNYP kalkulátor'!$IU$6="igen"),(M308+N308)*12/(1+IF('ÖNYP kalkulátor'!$C$16="nem",0,VLOOKUP(YEAR(A308),'ÖNYP kalkulátor'!$E$15:$J$75,4)))*0.2,0),R308)</f>
        <v>0</v>
      </c>
      <c r="T308" s="4">
        <f ca="1">(1+VLOOKUP(YEAR(A308),'ÖNYP kalkulátor'!$E$15:$F$75,2,FALSE)+VLOOKUP(YEAR(A308),'ÖNYP kalkulátor'!$E$15:$I$75,5,FALSE))^(1/12)-1</f>
        <v>4.0741237836483535E-3</v>
      </c>
      <c r="U308" s="8">
        <f t="shared" ca="1" si="51"/>
        <v>160180.01255569453</v>
      </c>
      <c r="V308" s="14">
        <f t="shared" ca="1" si="52"/>
        <v>39476612.468187734</v>
      </c>
      <c r="W308" s="8">
        <f t="shared" ca="1" si="53"/>
        <v>18547895.574262645</v>
      </c>
    </row>
    <row r="309" spans="1:23" x14ac:dyDescent="0.2">
      <c r="A309" s="6">
        <f t="shared" ca="1" si="57"/>
        <v>54970</v>
      </c>
      <c r="B309" s="12">
        <f t="shared" ca="1" si="58"/>
        <v>7</v>
      </c>
      <c r="C309" s="7">
        <f ca="1">(YEAR(A309)-YEAR('ÖNYP kalkulátor'!$C$10))+(MONTH(CF!A309)-MONTH('ÖNYP kalkulátor'!$C$10)-1)/12</f>
        <v>69.083333333333329</v>
      </c>
      <c r="D309" s="4">
        <f ca="1">(1+VLOOKUP(YEAR(A309),'ÖNYP kalkulátor'!$E$15:$F$75,2,FALSE))^(1/12)-1</f>
        <v>2.4662697723036864E-3</v>
      </c>
      <c r="E309" s="4">
        <f t="shared" ca="1" si="61"/>
        <v>2.133609836532854</v>
      </c>
      <c r="F309" s="8">
        <f t="shared" ca="1" si="62"/>
        <v>39476612.468187734</v>
      </c>
      <c r="G309" s="8">
        <v>10000</v>
      </c>
      <c r="H309" s="8">
        <v>250000</v>
      </c>
      <c r="I309" s="8">
        <v>500000</v>
      </c>
      <c r="J309" s="8">
        <v>750000</v>
      </c>
      <c r="K309" s="8"/>
      <c r="L309" s="4">
        <f ca="1">+IF('ÖNYP kalkulátor'!$C$16="nem",0,
IF(MONTH(A309)=1,VLOOKUP(YEAR(A309),'ÖNYP kalkulátor'!$E$15:$J$75,4),0))</f>
        <v>0</v>
      </c>
      <c r="M309" s="8">
        <f t="shared" ca="1" si="59"/>
        <v>64697.738026315274</v>
      </c>
      <c r="N309" s="8">
        <f t="shared" ca="1" si="60"/>
        <v>21565.912675438434</v>
      </c>
      <c r="O309" s="8">
        <f t="shared" ca="1" si="54"/>
        <v>603845.5549122761</v>
      </c>
      <c r="P309" s="8">
        <f t="shared" ca="1" si="55"/>
        <v>573868.64381403057</v>
      </c>
      <c r="Q309" s="8">
        <f t="shared" ca="1" si="56"/>
        <v>84538.377687718661</v>
      </c>
      <c r="R309" s="13">
        <v>150000</v>
      </c>
      <c r="S309" s="13">
        <f ca="1">MIN(IF(AND(MONTH(A309)=5,'ÖNYP kalkulátor'!$IU$6="igen"),(M309+N309)*12/(1+IF('ÖNYP kalkulátor'!$C$16="nem",0,VLOOKUP(YEAR(A309),'ÖNYP kalkulátor'!$E$15:$J$75,4)))*0.2,0),R309)</f>
        <v>0</v>
      </c>
      <c r="T309" s="4">
        <f ca="1">(1+VLOOKUP(YEAR(A309),'ÖNYP kalkulátor'!$E$15:$F$75,2,FALSE)+VLOOKUP(YEAR(A309),'ÖNYP kalkulátor'!$E$15:$I$75,5,FALSE))^(1/12)-1</f>
        <v>4.0741237836483535E-3</v>
      </c>
      <c r="U309" s="8">
        <f t="shared" ca="1" si="51"/>
        <v>161177.02556968134</v>
      </c>
      <c r="V309" s="14">
        <f t="shared" ca="1" si="52"/>
        <v>39722327.871445134</v>
      </c>
      <c r="W309" s="8">
        <f t="shared" ca="1" si="53"/>
        <v>18617428.16858891</v>
      </c>
    </row>
    <row r="310" spans="1:23" x14ac:dyDescent="0.2">
      <c r="A310" s="6">
        <f t="shared" ca="1" si="57"/>
        <v>55001</v>
      </c>
      <c r="B310" s="12">
        <f t="shared" ca="1" si="58"/>
        <v>8</v>
      </c>
      <c r="C310" s="7">
        <f ca="1">(YEAR(A310)-YEAR('ÖNYP kalkulátor'!$C$10))+(MONTH(CF!A310)-MONTH('ÖNYP kalkulátor'!$C$10)-1)/12</f>
        <v>69.166666666666671</v>
      </c>
      <c r="D310" s="4">
        <f ca="1">(1+VLOOKUP(YEAR(A310),'ÖNYP kalkulátor'!$E$15:$F$75,2,FALSE))^(1/12)-1</f>
        <v>2.4662697723036864E-3</v>
      </c>
      <c r="E310" s="4">
        <f t="shared" ca="1" si="61"/>
        <v>2.1388718939785849</v>
      </c>
      <c r="F310" s="8">
        <f t="shared" ca="1" si="62"/>
        <v>39722327.871445134</v>
      </c>
      <c r="G310" s="8">
        <v>10000</v>
      </c>
      <c r="H310" s="8">
        <v>250000</v>
      </c>
      <c r="I310" s="8">
        <v>500000</v>
      </c>
      <c r="J310" s="8">
        <v>750000</v>
      </c>
      <c r="K310" s="8"/>
      <c r="L310" s="4">
        <f ca="1">+IF('ÖNYP kalkulátor'!$C$16="nem",0,
IF(MONTH(A310)=1,VLOOKUP(YEAR(A310),'ÖNYP kalkulátor'!$E$15:$J$75,4),0))</f>
        <v>0</v>
      </c>
      <c r="M310" s="8">
        <f t="shared" ca="1" si="59"/>
        <v>64697.738026315274</v>
      </c>
      <c r="N310" s="8">
        <f t="shared" ca="1" si="60"/>
        <v>21565.912675438434</v>
      </c>
      <c r="O310" s="8">
        <f t="shared" ca="1" si="54"/>
        <v>690109.20561402978</v>
      </c>
      <c r="P310" s="8">
        <f t="shared" ca="1" si="55"/>
        <v>658407.02150174917</v>
      </c>
      <c r="Q310" s="8">
        <f t="shared" ca="1" si="56"/>
        <v>84538.377687718603</v>
      </c>
      <c r="R310" s="13">
        <v>150000</v>
      </c>
      <c r="S310" s="13">
        <f ca="1">MIN(IF(AND(MONTH(A310)=5,'ÖNYP kalkulátor'!$IU$6="igen"),(M310+N310)*12/(1+IF('ÖNYP kalkulátor'!$C$16="nem",0,VLOOKUP(YEAR(A310),'ÖNYP kalkulátor'!$E$15:$J$75,4)))*0.2,0),R310)</f>
        <v>0</v>
      </c>
      <c r="T310" s="4">
        <f ca="1">(1+VLOOKUP(YEAR(A310),'ÖNYP kalkulátor'!$E$15:$F$75,2,FALSE)+VLOOKUP(YEAR(A310),'ÖNYP kalkulátor'!$E$15:$I$75,5,FALSE))^(1/12)-1</f>
        <v>4.0741237836483535E-3</v>
      </c>
      <c r="U310" s="8">
        <f t="shared" ca="1" si="51"/>
        <v>162178.10053810108</v>
      </c>
      <c r="V310" s="14">
        <f t="shared" ca="1" si="52"/>
        <v>39969044.349670954</v>
      </c>
      <c r="W310" s="8">
        <f t="shared" ca="1" si="53"/>
        <v>18686974.410292167</v>
      </c>
    </row>
    <row r="311" spans="1:23" x14ac:dyDescent="0.2">
      <c r="A311" s="6">
        <f t="shared" ca="1" si="57"/>
        <v>55032</v>
      </c>
      <c r="B311" s="12">
        <f t="shared" ca="1" si="58"/>
        <v>9</v>
      </c>
      <c r="C311" s="7">
        <f ca="1">(YEAR(A311)-YEAR('ÖNYP kalkulátor'!$C$10))+(MONTH(CF!A311)-MONTH('ÖNYP kalkulátor'!$C$10)-1)/12</f>
        <v>69.25</v>
      </c>
      <c r="D311" s="4">
        <f ca="1">(1+VLOOKUP(YEAR(A311),'ÖNYP kalkulátor'!$E$15:$F$75,2,FALSE))^(1/12)-1</f>
        <v>2.4662697723036864E-3</v>
      </c>
      <c r="E311" s="4">
        <f t="shared" ca="1" si="61"/>
        <v>2.1441469290775341</v>
      </c>
      <c r="F311" s="8">
        <f t="shared" ca="1" si="62"/>
        <v>39969044.349670954</v>
      </c>
      <c r="G311" s="8">
        <v>10000</v>
      </c>
      <c r="H311" s="8">
        <v>250000</v>
      </c>
      <c r="I311" s="8">
        <v>500000</v>
      </c>
      <c r="J311" s="8">
        <v>750000</v>
      </c>
      <c r="K311" s="8"/>
      <c r="L311" s="4">
        <f ca="1">+IF('ÖNYP kalkulátor'!$C$16="nem",0,
IF(MONTH(A311)=1,VLOOKUP(YEAR(A311),'ÖNYP kalkulátor'!$E$15:$J$75,4),0))</f>
        <v>0</v>
      </c>
      <c r="M311" s="8">
        <f t="shared" ca="1" si="59"/>
        <v>64697.738026315274</v>
      </c>
      <c r="N311" s="8">
        <f t="shared" ca="1" si="60"/>
        <v>21565.912675438434</v>
      </c>
      <c r="O311" s="8">
        <f t="shared" ca="1" si="54"/>
        <v>776372.85631578346</v>
      </c>
      <c r="P311" s="8">
        <f t="shared" ca="1" si="55"/>
        <v>743340.99203420454</v>
      </c>
      <c r="Q311" s="8">
        <f t="shared" ca="1" si="56"/>
        <v>84933.970532455365</v>
      </c>
      <c r="R311" s="13">
        <v>150000</v>
      </c>
      <c r="S311" s="13">
        <f ca="1">MIN(IF(AND(MONTH(A311)=5,'ÖNYP kalkulátor'!$IU$6="igen"),(M311+N311)*12/(1+IF('ÖNYP kalkulátor'!$C$16="nem",0,VLOOKUP(YEAR(A311),'ÖNYP kalkulátor'!$E$15:$J$75,4)))*0.2,0),R311)</f>
        <v>0</v>
      </c>
      <c r="T311" s="4">
        <f ca="1">(1+VLOOKUP(YEAR(A311),'ÖNYP kalkulátor'!$E$15:$F$75,2,FALSE)+VLOOKUP(YEAR(A311),'ÖNYP kalkulátor'!$E$15:$I$75,5,FALSE))^(1/12)-1</f>
        <v>4.0741237836483535E-3</v>
      </c>
      <c r="U311" s="8">
        <f t="shared" ca="1" si="51"/>
        <v>163184.86570407622</v>
      </c>
      <c r="V311" s="14">
        <f t="shared" ca="1" si="52"/>
        <v>40217163.185907483</v>
      </c>
      <c r="W311" s="8">
        <f t="shared" ca="1" si="53"/>
        <v>18756719.812671568</v>
      </c>
    </row>
    <row r="312" spans="1:23" x14ac:dyDescent="0.2">
      <c r="A312" s="6">
        <f t="shared" ca="1" si="57"/>
        <v>55062</v>
      </c>
      <c r="B312" s="12">
        <f t="shared" ca="1" si="58"/>
        <v>10</v>
      </c>
      <c r="C312" s="7">
        <f ca="1">(YEAR(A312)-YEAR('ÖNYP kalkulátor'!$C$10))+(MONTH(CF!A312)-MONTH('ÖNYP kalkulátor'!$C$10)-1)/12</f>
        <v>69.333333333333329</v>
      </c>
      <c r="D312" s="4">
        <f ca="1">(1+VLOOKUP(YEAR(A312),'ÖNYP kalkulátor'!$E$15:$F$75,2,FALSE))^(1/12)-1</f>
        <v>2.4662697723036864E-3</v>
      </c>
      <c r="E312" s="4">
        <f t="shared" ca="1" si="61"/>
        <v>2.1494349738360956</v>
      </c>
      <c r="F312" s="8">
        <f t="shared" ca="1" si="62"/>
        <v>40217163.185907483</v>
      </c>
      <c r="G312" s="8">
        <v>10000</v>
      </c>
      <c r="H312" s="8">
        <v>250000</v>
      </c>
      <c r="I312" s="8">
        <v>500000</v>
      </c>
      <c r="J312" s="8">
        <v>750000</v>
      </c>
      <c r="K312" s="8"/>
      <c r="L312" s="4">
        <f ca="1">+IF('ÖNYP kalkulátor'!$C$16="nem",0,
IF(MONTH(A312)=1,VLOOKUP(YEAR(A312),'ÖNYP kalkulátor'!$E$15:$J$75,4),0))</f>
        <v>0</v>
      </c>
      <c r="M312" s="8">
        <f t="shared" ca="1" si="59"/>
        <v>64697.738026315274</v>
      </c>
      <c r="N312" s="8">
        <f t="shared" ca="1" si="60"/>
        <v>21565.912675438434</v>
      </c>
      <c r="O312" s="8">
        <f t="shared" ca="1" si="54"/>
        <v>862636.50701753714</v>
      </c>
      <c r="P312" s="8">
        <f t="shared" ca="1" si="55"/>
        <v>829173.32448244945</v>
      </c>
      <c r="Q312" s="8">
        <f t="shared" ca="1" si="56"/>
        <v>85832.33244824491</v>
      </c>
      <c r="R312" s="13">
        <v>150000</v>
      </c>
      <c r="S312" s="13">
        <f ca="1">MIN(IF(AND(MONTH(A312)=5,'ÖNYP kalkulátor'!$IU$6="igen"),(M312+N312)*12/(1+IF('ÖNYP kalkulátor'!$C$16="nem",0,VLOOKUP(YEAR(A312),'ÖNYP kalkulátor'!$E$15:$J$75,4)))*0.2,0),R312)</f>
        <v>0</v>
      </c>
      <c r="T312" s="4">
        <f ca="1">(1+VLOOKUP(YEAR(A312),'ÖNYP kalkulátor'!$E$15:$F$75,2,FALSE)+VLOOKUP(YEAR(A312),'ÖNYP kalkulátor'!$E$15:$I$75,5,FALSE))^(1/12)-1</f>
        <v>4.0741237836483535E-3</v>
      </c>
      <c r="U312" s="8">
        <f t="shared" ca="1" si="51"/>
        <v>164199.39259360606</v>
      </c>
      <c r="V312" s="14">
        <f t="shared" ca="1" si="52"/>
        <v>40467194.910949335</v>
      </c>
      <c r="W312" s="8">
        <f t="shared" ca="1" si="53"/>
        <v>18826898.884374041</v>
      </c>
    </row>
    <row r="313" spans="1:23" x14ac:dyDescent="0.2">
      <c r="A313" s="6">
        <f t="shared" ca="1" si="57"/>
        <v>55093</v>
      </c>
      <c r="B313" s="12">
        <f t="shared" ca="1" si="58"/>
        <v>11</v>
      </c>
      <c r="C313" s="7">
        <f ca="1">(YEAR(A313)-YEAR('ÖNYP kalkulátor'!$C$10))+(MONTH(CF!A313)-MONTH('ÖNYP kalkulátor'!$C$10)-1)/12</f>
        <v>69.416666666666671</v>
      </c>
      <c r="D313" s="4">
        <f ca="1">(1+VLOOKUP(YEAR(A313),'ÖNYP kalkulátor'!$E$15:$F$75,2,FALSE))^(1/12)-1</f>
        <v>2.4662697723036864E-3</v>
      </c>
      <c r="E313" s="4">
        <f t="shared" ca="1" si="61"/>
        <v>2.1547360603395997</v>
      </c>
      <c r="F313" s="8">
        <f t="shared" ca="1" si="62"/>
        <v>40467194.910949335</v>
      </c>
      <c r="G313" s="8">
        <v>10000</v>
      </c>
      <c r="H313" s="8">
        <v>250000</v>
      </c>
      <c r="I313" s="8">
        <v>500000</v>
      </c>
      <c r="J313" s="8">
        <v>750000</v>
      </c>
      <c r="K313" s="8"/>
      <c r="L313" s="4">
        <f ca="1">+IF('ÖNYP kalkulátor'!$C$16="nem",0,
IF(MONTH(A313)=1,VLOOKUP(YEAR(A313),'ÖNYP kalkulátor'!$E$15:$J$75,4),0))</f>
        <v>0</v>
      </c>
      <c r="M313" s="8">
        <f t="shared" ca="1" si="59"/>
        <v>64697.738026315274</v>
      </c>
      <c r="N313" s="8">
        <f t="shared" ca="1" si="60"/>
        <v>21565.912675438434</v>
      </c>
      <c r="O313" s="8">
        <f t="shared" ca="1" si="54"/>
        <v>948900.15771929082</v>
      </c>
      <c r="P313" s="8">
        <f t="shared" ca="1" si="55"/>
        <v>915005.65693069436</v>
      </c>
      <c r="Q313" s="8">
        <f t="shared" ca="1" si="56"/>
        <v>85832.33244824491</v>
      </c>
      <c r="R313" s="13">
        <v>150000</v>
      </c>
      <c r="S313" s="13">
        <f ca="1">MIN(IF(AND(MONTH(A313)=5,'ÖNYP kalkulátor'!$IU$6="igen"),(M313+N313)*12/(1+IF('ÖNYP kalkulátor'!$C$16="nem",0,VLOOKUP(YEAR(A313),'ÖNYP kalkulátor'!$E$15:$J$75,4)))*0.2,0),R313)</f>
        <v>0</v>
      </c>
      <c r="T313" s="4">
        <f ca="1">(1+VLOOKUP(YEAR(A313),'ÖNYP kalkulátor'!$E$15:$F$75,2,FALSE)+VLOOKUP(YEAR(A313),'ÖNYP kalkulátor'!$E$15:$I$75,5,FALSE))^(1/12)-1</f>
        <v>4.0741237836483535E-3</v>
      </c>
      <c r="U313" s="8">
        <f t="shared" ca="1" si="51"/>
        <v>165218.05279126571</v>
      </c>
      <c r="V313" s="14">
        <f t="shared" ca="1" si="52"/>
        <v>40718245.296188846</v>
      </c>
      <c r="W313" s="8">
        <f t="shared" ca="1" si="53"/>
        <v>18897091.873874985</v>
      </c>
    </row>
    <row r="314" spans="1:23" x14ac:dyDescent="0.2">
      <c r="A314" s="6">
        <f t="shared" ca="1" si="57"/>
        <v>55123</v>
      </c>
      <c r="B314" s="12">
        <f t="shared" ca="1" si="58"/>
        <v>12</v>
      </c>
      <c r="C314" s="7">
        <f ca="1">(YEAR(A314)-YEAR('ÖNYP kalkulátor'!$C$10))+(MONTH(CF!A314)-MONTH('ÖNYP kalkulátor'!$C$10)-1)/12</f>
        <v>69.5</v>
      </c>
      <c r="D314" s="4">
        <f ca="1">(1+VLOOKUP(YEAR(A314),'ÖNYP kalkulátor'!$E$15:$F$75,2,FALSE))^(1/12)-1</f>
        <v>2.4662697723036864E-3</v>
      </c>
      <c r="E314" s="4">
        <f t="shared" ca="1" si="61"/>
        <v>2.1600502207525079</v>
      </c>
      <c r="F314" s="8">
        <f t="shared" ca="1" si="62"/>
        <v>40718245.296188846</v>
      </c>
      <c r="G314" s="8">
        <v>10000</v>
      </c>
      <c r="H314" s="8">
        <v>250000</v>
      </c>
      <c r="I314" s="8">
        <v>500000</v>
      </c>
      <c r="J314" s="8">
        <v>750000</v>
      </c>
      <c r="K314" s="8"/>
      <c r="L314" s="4">
        <f ca="1">+IF('ÖNYP kalkulátor'!$C$16="nem",0,
IF(MONTH(A314)=1,VLOOKUP(YEAR(A314),'ÖNYP kalkulátor'!$E$15:$J$75,4),0))</f>
        <v>0</v>
      </c>
      <c r="M314" s="8">
        <f t="shared" ca="1" si="59"/>
        <v>64697.738026315274</v>
      </c>
      <c r="N314" s="8">
        <f t="shared" ca="1" si="60"/>
        <v>21565.912675438434</v>
      </c>
      <c r="O314" s="8">
        <f t="shared" ca="1" si="54"/>
        <v>1035163.8084210445</v>
      </c>
      <c r="P314" s="8">
        <f t="shared" ca="1" si="55"/>
        <v>1000837.9893789393</v>
      </c>
      <c r="Q314" s="8">
        <f t="shared" ca="1" si="56"/>
        <v>85832.33244824491</v>
      </c>
      <c r="R314" s="13">
        <v>150000</v>
      </c>
      <c r="S314" s="13">
        <f ca="1">MIN(IF(AND(MONTH(A314)=5,'ÖNYP kalkulátor'!$IU$6="igen"),(M314+N314)*12/(1+IF('ÖNYP kalkulátor'!$C$16="nem",0,VLOOKUP(YEAR(A314),'ÖNYP kalkulátor'!$E$15:$J$75,4)))*0.2,0),R314)</f>
        <v>0</v>
      </c>
      <c r="T314" s="4">
        <f ca="1">(1+VLOOKUP(YEAR(A314),'ÖNYP kalkulátor'!$E$15:$F$75,2,FALSE)+VLOOKUP(YEAR(A314),'ÖNYP kalkulátor'!$E$15:$I$75,5,FALSE))^(1/12)-1</f>
        <v>4.0741237836483535E-3</v>
      </c>
      <c r="U314" s="8">
        <f t="shared" ca="1" si="51"/>
        <v>166240.86313666409</v>
      </c>
      <c r="V314" s="14">
        <f t="shared" ca="1" si="52"/>
        <v>40970318.491773754</v>
      </c>
      <c r="W314" s="8">
        <f t="shared" ca="1" si="53"/>
        <v>18967299.046177138</v>
      </c>
    </row>
    <row r="315" spans="1:23" x14ac:dyDescent="0.2">
      <c r="A315" s="6">
        <f t="shared" ca="1" si="57"/>
        <v>55154</v>
      </c>
      <c r="B315" s="12">
        <f t="shared" ca="1" si="58"/>
        <v>1</v>
      </c>
      <c r="C315" s="7">
        <f ca="1">(YEAR(A315)-YEAR('ÖNYP kalkulátor'!$C$10))+(MONTH(CF!A315)-MONTH('ÖNYP kalkulátor'!$C$10)-1)/12</f>
        <v>69.583333333333329</v>
      </c>
      <c r="D315" s="4">
        <f ca="1">(1+VLOOKUP(YEAR(A315),'ÖNYP kalkulátor'!$E$15:$F$75,2,FALSE))^(1/12)-1</f>
        <v>2.4662697723036864E-3</v>
      </c>
      <c r="E315" s="4">
        <f t="shared" ca="1" si="61"/>
        <v>2.1653774873186076</v>
      </c>
      <c r="F315" s="8">
        <f t="shared" ca="1" si="62"/>
        <v>40970318.491773754</v>
      </c>
      <c r="G315" s="8">
        <v>10000</v>
      </c>
      <c r="H315" s="8">
        <v>250000</v>
      </c>
      <c r="I315" s="8">
        <v>500000</v>
      </c>
      <c r="J315" s="8">
        <v>750000</v>
      </c>
      <c r="K315" s="8"/>
      <c r="L315" s="4">
        <f ca="1">+IF('ÖNYP kalkulátor'!$C$16="nem",0,
IF(MONTH(A315)=1,VLOOKUP(YEAR(A315),'ÖNYP kalkulátor'!$E$15:$J$75,4),0))</f>
        <v>0.03</v>
      </c>
      <c r="M315" s="8">
        <f t="shared" ca="1" si="59"/>
        <v>66638.670167104734</v>
      </c>
      <c r="N315" s="8">
        <f t="shared" ca="1" si="60"/>
        <v>22212.890055701588</v>
      </c>
      <c r="O315" s="8">
        <f t="shared" ca="1" si="54"/>
        <v>88851.560222806322</v>
      </c>
      <c r="P315" s="8">
        <f t="shared" ca="1" si="55"/>
        <v>83120.466609437935</v>
      </c>
      <c r="Q315" s="8">
        <f t="shared" ca="1" si="56"/>
        <v>83120.466609437935</v>
      </c>
      <c r="R315" s="13">
        <v>150000</v>
      </c>
      <c r="S315" s="13">
        <f ca="1">MIN(IF(AND(MONTH(A315)=5,'ÖNYP kalkulátor'!$IU$6="igen"),(M315+N315)*12/(1+IF('ÖNYP kalkulátor'!$C$16="nem",0,VLOOKUP(YEAR(A315),'ÖNYP kalkulátor'!$E$15:$J$75,4)))*0.2,0),R315)</f>
        <v>0</v>
      </c>
      <c r="T315" s="4">
        <f ca="1">(1+VLOOKUP(YEAR(A315),'ÖNYP kalkulátor'!$E$15:$F$75,2,FALSE)+VLOOKUP(YEAR(A315),'ÖNYP kalkulátor'!$E$15:$I$75,5,FALSE))^(1/12)-1</f>
        <v>4.0741237836483535E-3</v>
      </c>
      <c r="U315" s="8">
        <f t="shared" ca="1" si="51"/>
        <v>167256.79206090487</v>
      </c>
      <c r="V315" s="14">
        <f t="shared" ca="1" si="52"/>
        <v>41220695.750444099</v>
      </c>
      <c r="W315" s="8">
        <f t="shared" ca="1" si="53"/>
        <v>19036263.188220263</v>
      </c>
    </row>
    <row r="316" spans="1:23" x14ac:dyDescent="0.2">
      <c r="A316" s="6">
        <f t="shared" ca="1" si="57"/>
        <v>55185</v>
      </c>
      <c r="B316" s="12">
        <f t="shared" ca="1" si="58"/>
        <v>2</v>
      </c>
      <c r="C316" s="7">
        <f ca="1">(YEAR(A316)-YEAR('ÖNYP kalkulátor'!$C$10))+(MONTH(CF!A316)-MONTH('ÖNYP kalkulátor'!$C$10)-1)/12</f>
        <v>69.666666666666671</v>
      </c>
      <c r="D316" s="4">
        <f ca="1">(1+VLOOKUP(YEAR(A316),'ÖNYP kalkulátor'!$E$15:$F$75,2,FALSE))^(1/12)-1</f>
        <v>2.4662697723036864E-3</v>
      </c>
      <c r="E316" s="4">
        <f t="shared" ca="1" si="61"/>
        <v>2.1707178923612083</v>
      </c>
      <c r="F316" s="8">
        <f t="shared" ca="1" si="62"/>
        <v>41220695.750444099</v>
      </c>
      <c r="G316" s="8">
        <v>10000</v>
      </c>
      <c r="H316" s="8">
        <v>250000</v>
      </c>
      <c r="I316" s="8">
        <v>500000</v>
      </c>
      <c r="J316" s="8">
        <v>750000</v>
      </c>
      <c r="K316" s="8"/>
      <c r="L316" s="4">
        <f ca="1">+IF('ÖNYP kalkulátor'!$C$16="nem",0,
IF(MONTH(A316)=1,VLOOKUP(YEAR(A316),'ÖNYP kalkulátor'!$E$15:$J$75,4),0))</f>
        <v>0</v>
      </c>
      <c r="M316" s="8">
        <f t="shared" ca="1" si="59"/>
        <v>66638.670167104734</v>
      </c>
      <c r="N316" s="8">
        <f t="shared" ca="1" si="60"/>
        <v>22212.890055701588</v>
      </c>
      <c r="O316" s="8">
        <f t="shared" ca="1" si="54"/>
        <v>177703.12044561264</v>
      </c>
      <c r="P316" s="8">
        <f t="shared" ca="1" si="55"/>
        <v>166640.93321887587</v>
      </c>
      <c r="Q316" s="8">
        <f t="shared" ca="1" si="56"/>
        <v>83520.466609437935</v>
      </c>
      <c r="R316" s="13">
        <v>150000</v>
      </c>
      <c r="S316" s="13">
        <f ca="1">MIN(IF(AND(MONTH(A316)=5,'ÖNYP kalkulátor'!$IU$6="igen"),(M316+N316)*12/(1+IF('ÖNYP kalkulátor'!$C$16="nem",0,VLOOKUP(YEAR(A316),'ÖNYP kalkulátor'!$E$15:$J$75,4)))*0.2,0),R316)</f>
        <v>0</v>
      </c>
      <c r="T316" s="4">
        <f ca="1">(1+VLOOKUP(YEAR(A316),'ÖNYP kalkulátor'!$E$15:$F$75,2,FALSE)+VLOOKUP(YEAR(A316),'ÖNYP kalkulátor'!$E$15:$I$75,5,FALSE))^(1/12)-1</f>
        <v>4.0741237836483535E-3</v>
      </c>
      <c r="U316" s="8">
        <f t="shared" ca="1" si="51"/>
        <v>168278.48965485184</v>
      </c>
      <c r="V316" s="14">
        <f t="shared" ca="1" si="52"/>
        <v>41472494.706708394</v>
      </c>
      <c r="W316" s="8">
        <f t="shared" ca="1" si="53"/>
        <v>19105428.140916321</v>
      </c>
    </row>
    <row r="317" spans="1:23" x14ac:dyDescent="0.2">
      <c r="A317" s="6">
        <f t="shared" ca="1" si="57"/>
        <v>55213</v>
      </c>
      <c r="B317" s="12">
        <f t="shared" ca="1" si="58"/>
        <v>3</v>
      </c>
      <c r="C317" s="7">
        <f ca="1">(YEAR(A317)-YEAR('ÖNYP kalkulátor'!$C$10))+(MONTH(CF!A317)-MONTH('ÖNYP kalkulátor'!$C$10)-1)/12</f>
        <v>69.75</v>
      </c>
      <c r="D317" s="4">
        <f ca="1">(1+VLOOKUP(YEAR(A317),'ÖNYP kalkulátor'!$E$15:$F$75,2,FALSE))^(1/12)-1</f>
        <v>2.4662697723036864E-3</v>
      </c>
      <c r="E317" s="4">
        <f t="shared" ca="1" si="61"/>
        <v>2.1760714682833373</v>
      </c>
      <c r="F317" s="8">
        <f t="shared" ca="1" si="62"/>
        <v>41472494.706708394</v>
      </c>
      <c r="G317" s="8">
        <v>10000</v>
      </c>
      <c r="H317" s="8">
        <v>250000</v>
      </c>
      <c r="I317" s="8">
        <v>500000</v>
      </c>
      <c r="J317" s="8">
        <v>750000</v>
      </c>
      <c r="K317" s="8"/>
      <c r="L317" s="4">
        <f ca="1">+IF('ÖNYP kalkulátor'!$C$16="nem",0,
IF(MONTH(A317)=1,VLOOKUP(YEAR(A317),'ÖNYP kalkulátor'!$E$15:$J$75,4),0))</f>
        <v>0</v>
      </c>
      <c r="M317" s="8">
        <f t="shared" ca="1" si="59"/>
        <v>66638.670167104734</v>
      </c>
      <c r="N317" s="8">
        <f t="shared" ca="1" si="60"/>
        <v>22212.890055701588</v>
      </c>
      <c r="O317" s="8">
        <f t="shared" ca="1" si="54"/>
        <v>266554.68066841899</v>
      </c>
      <c r="P317" s="8">
        <f t="shared" ca="1" si="55"/>
        <v>250326.94663499805</v>
      </c>
      <c r="Q317" s="8">
        <f t="shared" ca="1" si="56"/>
        <v>83686.013416122179</v>
      </c>
      <c r="R317" s="13">
        <v>150000</v>
      </c>
      <c r="S317" s="13">
        <f ca="1">MIN(IF(AND(MONTH(A317)=5,'ÖNYP kalkulátor'!$IU$6="igen"),(M317+N317)*12/(1+IF('ÖNYP kalkulátor'!$C$16="nem",0,VLOOKUP(YEAR(A317),'ÖNYP kalkulátor'!$E$15:$J$75,4)))*0.2,0),R317)</f>
        <v>0</v>
      </c>
      <c r="T317" s="4">
        <f ca="1">(1+VLOOKUP(YEAR(A317),'ÖNYP kalkulátor'!$E$15:$F$75,2,FALSE)+VLOOKUP(YEAR(A317),'ÖNYP kalkulátor'!$E$15:$I$75,5,FALSE))^(1/12)-1</f>
        <v>4.0741237836483535E-3</v>
      </c>
      <c r="U317" s="8">
        <f t="shared" ca="1" si="51"/>
        <v>169305.02422944843</v>
      </c>
      <c r="V317" s="14">
        <f t="shared" ca="1" si="52"/>
        <v>41725485.744353965</v>
      </c>
      <c r="W317" s="8">
        <f t="shared" ca="1" si="53"/>
        <v>19174685.368799228</v>
      </c>
    </row>
    <row r="318" spans="1:23" x14ac:dyDescent="0.2">
      <c r="A318" s="6">
        <f t="shared" ca="1" si="57"/>
        <v>55244</v>
      </c>
      <c r="B318" s="12">
        <f t="shared" ca="1" si="58"/>
        <v>4</v>
      </c>
      <c r="C318" s="7">
        <f ca="1">(YEAR(A318)-YEAR('ÖNYP kalkulátor'!$C$10))+(MONTH(CF!A318)-MONTH('ÖNYP kalkulátor'!$C$10)-1)/12</f>
        <v>69.833333333333329</v>
      </c>
      <c r="D318" s="4">
        <f ca="1">(1+VLOOKUP(YEAR(A318),'ÖNYP kalkulátor'!$E$15:$F$75,2,FALSE))^(1/12)-1</f>
        <v>2.4662697723036864E-3</v>
      </c>
      <c r="E318" s="4">
        <f t="shared" ca="1" si="61"/>
        <v>2.1814382475679368</v>
      </c>
      <c r="F318" s="8">
        <f t="shared" ca="1" si="62"/>
        <v>41725485.744353965</v>
      </c>
      <c r="G318" s="8">
        <v>10000</v>
      </c>
      <c r="H318" s="8">
        <v>250000</v>
      </c>
      <c r="I318" s="8">
        <v>500000</v>
      </c>
      <c r="J318" s="8">
        <v>750000</v>
      </c>
      <c r="K318" s="8"/>
      <c r="L318" s="4">
        <f ca="1">+IF('ÖNYP kalkulátor'!$C$16="nem",0,
IF(MONTH(A318)=1,VLOOKUP(YEAR(A318),'ÖNYP kalkulátor'!$E$15:$J$75,4),0))</f>
        <v>0</v>
      </c>
      <c r="M318" s="8">
        <f t="shared" ca="1" si="59"/>
        <v>66638.670167104734</v>
      </c>
      <c r="N318" s="8">
        <f t="shared" ca="1" si="60"/>
        <v>22212.890055701588</v>
      </c>
      <c r="O318" s="8">
        <f t="shared" ca="1" si="54"/>
        <v>355406.24089122534</v>
      </c>
      <c r="P318" s="8">
        <f t="shared" ca="1" si="55"/>
        <v>334735.92884666409</v>
      </c>
      <c r="Q318" s="8">
        <f t="shared" ca="1" si="56"/>
        <v>84408.982211666036</v>
      </c>
      <c r="R318" s="13">
        <v>150000</v>
      </c>
      <c r="S318" s="13">
        <f ca="1">MIN(IF(AND(MONTH(A318)=5,'ÖNYP kalkulátor'!$IU$6="igen"),(M318+N318)*12/(1+IF('ÖNYP kalkulátor'!$C$16="nem",0,VLOOKUP(YEAR(A318),'ÖNYP kalkulátor'!$E$15:$J$75,4)))*0.2,0),R318)</f>
        <v>0</v>
      </c>
      <c r="T318" s="4">
        <f ca="1">(1+VLOOKUP(YEAR(A318),'ÖNYP kalkulátor'!$E$15:$F$75,2,FALSE)+VLOOKUP(YEAR(A318),'ÖNYP kalkulátor'!$E$15:$I$75,5,FALSE))^(1/12)-1</f>
        <v>4.0741237836483535E-3</v>
      </c>
      <c r="U318" s="8">
        <f t="shared" ca="1" si="51"/>
        <v>170338.68649733491</v>
      </c>
      <c r="V318" s="14">
        <f t="shared" ca="1" si="52"/>
        <v>41980233.413062967</v>
      </c>
      <c r="W318" s="8">
        <f t="shared" ca="1" si="53"/>
        <v>19244291.448481891</v>
      </c>
    </row>
    <row r="319" spans="1:23" x14ac:dyDescent="0.2">
      <c r="A319" s="6">
        <f t="shared" ca="1" si="57"/>
        <v>55274</v>
      </c>
      <c r="B319" s="12">
        <f t="shared" ca="1" si="58"/>
        <v>5</v>
      </c>
      <c r="C319" s="7">
        <f ca="1">(YEAR(A319)-YEAR('ÖNYP kalkulátor'!$C$10))+(MONTH(CF!A319)-MONTH('ÖNYP kalkulátor'!$C$10)-1)/12</f>
        <v>69.916666666666671</v>
      </c>
      <c r="D319" s="4">
        <f ca="1">(1+VLOOKUP(YEAR(A319),'ÖNYP kalkulátor'!$E$15:$F$75,2,FALSE))^(1/12)-1</f>
        <v>2.4662697723036864E-3</v>
      </c>
      <c r="E319" s="4">
        <f t="shared" ca="1" si="61"/>
        <v>2.1868182627780608</v>
      </c>
      <c r="F319" s="8">
        <f t="shared" ca="1" si="62"/>
        <v>41980233.413062967</v>
      </c>
      <c r="G319" s="8">
        <v>10000</v>
      </c>
      <c r="H319" s="8">
        <v>250000</v>
      </c>
      <c r="I319" s="8">
        <v>500000</v>
      </c>
      <c r="J319" s="8">
        <v>750000</v>
      </c>
      <c r="K319" s="8"/>
      <c r="L319" s="4">
        <f ca="1">+IF('ÖNYP kalkulátor'!$C$16="nem",0,
IF(MONTH(A319)=1,VLOOKUP(YEAR(A319),'ÖNYP kalkulátor'!$E$15:$J$75,4),0))</f>
        <v>0</v>
      </c>
      <c r="M319" s="8">
        <f t="shared" ca="1" si="59"/>
        <v>66638.670167104734</v>
      </c>
      <c r="N319" s="8">
        <f t="shared" ca="1" si="60"/>
        <v>22212.890055701588</v>
      </c>
      <c r="O319" s="8">
        <f t="shared" ca="1" si="54"/>
        <v>444257.8011140317</v>
      </c>
      <c r="P319" s="8">
        <f t="shared" ca="1" si="55"/>
        <v>419144.91105833009</v>
      </c>
      <c r="Q319" s="8">
        <f t="shared" ca="1" si="56"/>
        <v>84408.982211666007</v>
      </c>
      <c r="R319" s="13">
        <v>150000</v>
      </c>
      <c r="S319" s="13">
        <f ca="1">MIN(IF(AND(MONTH(A319)=5,'ÖNYP kalkulátor'!$IU$6="igen"),(M319+N319)*12/(1+IF('ÖNYP kalkulátor'!$C$16="nem",0,VLOOKUP(YEAR(A319),'ÖNYP kalkulátor'!$E$15:$J$75,4)))*0.2,0),R319)</f>
        <v>150000</v>
      </c>
      <c r="T319" s="4">
        <f ca="1">(1+VLOOKUP(YEAR(A319),'ÖNYP kalkulátor'!$E$15:$F$75,2,FALSE)+VLOOKUP(YEAR(A319),'ÖNYP kalkulátor'!$E$15:$I$75,5,FALSE))^(1/12)-1</f>
        <v>4.0741237836483535E-3</v>
      </c>
      <c r="U319" s="8">
        <f t="shared" ca="1" si="51"/>
        <v>171987.67860079848</v>
      </c>
      <c r="V319" s="14">
        <f t="shared" ca="1" si="52"/>
        <v>42386630.073875427</v>
      </c>
      <c r="W319" s="8">
        <f t="shared" ca="1" si="53"/>
        <v>19382785.847063884</v>
      </c>
    </row>
    <row r="320" spans="1:23" x14ac:dyDescent="0.2">
      <c r="A320" s="6">
        <f t="shared" ca="1" si="57"/>
        <v>55305</v>
      </c>
      <c r="B320" s="12">
        <f t="shared" ca="1" si="58"/>
        <v>6</v>
      </c>
      <c r="C320" s="7">
        <f ca="1">(YEAR(A320)-YEAR('ÖNYP kalkulátor'!$C$10))+(MONTH(CF!A320)-MONTH('ÖNYP kalkulátor'!$C$10)-1)/12</f>
        <v>70</v>
      </c>
      <c r="D320" s="4">
        <f ca="1">(1+VLOOKUP(YEAR(A320),'ÖNYP kalkulátor'!$E$15:$F$75,2,FALSE))^(1/12)-1</f>
        <v>2.4662697723036864E-3</v>
      </c>
      <c r="E320" s="4">
        <f t="shared" ca="1" si="61"/>
        <v>2.192211546557072</v>
      </c>
      <c r="F320" s="8">
        <f t="shared" ca="1" si="62"/>
        <v>42386630.073875427</v>
      </c>
      <c r="G320" s="8">
        <v>10000</v>
      </c>
      <c r="H320" s="8">
        <v>250000</v>
      </c>
      <c r="I320" s="8">
        <v>500000</v>
      </c>
      <c r="J320" s="8">
        <v>750000</v>
      </c>
      <c r="K320" s="8"/>
      <c r="L320" s="4">
        <f ca="1">+IF('ÖNYP kalkulátor'!$C$16="nem",0,
IF(MONTH(A320)=1,VLOOKUP(YEAR(A320),'ÖNYP kalkulátor'!$E$15:$J$75,4),0))</f>
        <v>0</v>
      </c>
      <c r="M320" s="8">
        <f t="shared" ca="1" si="59"/>
        <v>66638.670167104734</v>
      </c>
      <c r="N320" s="8">
        <f t="shared" ca="1" si="60"/>
        <v>22212.890055701588</v>
      </c>
      <c r="O320" s="8">
        <f t="shared" ca="1" si="54"/>
        <v>533109.36133683799</v>
      </c>
      <c r="P320" s="8">
        <f t="shared" ca="1" si="55"/>
        <v>504547.17411010124</v>
      </c>
      <c r="Q320" s="8">
        <f t="shared" ca="1" si="56"/>
        <v>85402.263051771151</v>
      </c>
      <c r="R320" s="13">
        <v>150000</v>
      </c>
      <c r="S320" s="13">
        <f ca="1">MIN(IF(AND(MONTH(A320)=5,'ÖNYP kalkulátor'!$IU$6="igen"),(M320+N320)*12/(1+IF('ÖNYP kalkulátor'!$C$16="nem",0,VLOOKUP(YEAR(A320),'ÖNYP kalkulátor'!$E$15:$J$75,4)))*0.2,0),R320)</f>
        <v>0</v>
      </c>
      <c r="T320" s="4">
        <f ca="1">(1+VLOOKUP(YEAR(A320),'ÖNYP kalkulátor'!$E$15:$F$75,2,FALSE)+VLOOKUP(YEAR(A320),'ÖNYP kalkulátor'!$E$15:$I$75,5,FALSE))^(1/12)-1</f>
        <v>4.0741237836483535E-3</v>
      </c>
      <c r="U320" s="8">
        <f t="shared" ca="1" si="51"/>
        <v>173036.31708375705</v>
      </c>
      <c r="V320" s="14">
        <f t="shared" ca="1" si="52"/>
        <v>42645068.654010952</v>
      </c>
      <c r="W320" s="8">
        <f t="shared" ca="1" si="53"/>
        <v>19452989.708491497</v>
      </c>
    </row>
    <row r="321" spans="1:23" x14ac:dyDescent="0.2">
      <c r="A321" s="6">
        <f t="shared" ca="1" si="57"/>
        <v>55335</v>
      </c>
      <c r="B321" s="12">
        <f t="shared" ca="1" si="58"/>
        <v>7</v>
      </c>
      <c r="C321" s="7">
        <f ca="1">(YEAR(A321)-YEAR('ÖNYP kalkulátor'!$C$10))+(MONTH(CF!A321)-MONTH('ÖNYP kalkulátor'!$C$10)-1)/12</f>
        <v>70.083333333333329</v>
      </c>
      <c r="D321" s="4">
        <f ca="1">(1+VLOOKUP(YEAR(A321),'ÖNYP kalkulátor'!$E$15:$F$75,2,FALSE))^(1/12)-1</f>
        <v>2.4662697723036864E-3</v>
      </c>
      <c r="E321" s="4">
        <f t="shared" ca="1" si="61"/>
        <v>2.1976181316288406</v>
      </c>
      <c r="F321" s="8">
        <f t="shared" ca="1" si="62"/>
        <v>42645068.654010952</v>
      </c>
      <c r="G321" s="8">
        <v>10000</v>
      </c>
      <c r="H321" s="8">
        <v>250000</v>
      </c>
      <c r="I321" s="8">
        <v>500000</v>
      </c>
      <c r="J321" s="8">
        <v>750000</v>
      </c>
      <c r="K321" s="8"/>
      <c r="L321" s="4">
        <f ca="1">+IF('ÖNYP kalkulátor'!$C$16="nem",0,
IF(MONTH(A321)=1,VLOOKUP(YEAR(A321),'ÖNYP kalkulátor'!$E$15:$J$75,4),0))</f>
        <v>0</v>
      </c>
      <c r="M321" s="8">
        <f t="shared" ca="1" si="59"/>
        <v>66638.670167104734</v>
      </c>
      <c r="N321" s="8">
        <f t="shared" ca="1" si="60"/>
        <v>22212.890055701588</v>
      </c>
      <c r="O321" s="8">
        <f t="shared" ca="1" si="54"/>
        <v>621960.92155964428</v>
      </c>
      <c r="P321" s="8">
        <f t="shared" ca="1" si="55"/>
        <v>591621.70312845137</v>
      </c>
      <c r="Q321" s="8">
        <f t="shared" ca="1" si="56"/>
        <v>87074.52901835012</v>
      </c>
      <c r="R321" s="13">
        <v>150000</v>
      </c>
      <c r="S321" s="13">
        <f ca="1">MIN(IF(AND(MONTH(A321)=5,'ÖNYP kalkulátor'!$IU$6="igen"),(M321+N321)*12/(1+IF('ÖNYP kalkulátor'!$C$16="nem",0,VLOOKUP(YEAR(A321),'ÖNYP kalkulátor'!$E$15:$J$75,4)))*0.2,0),R321)</f>
        <v>0</v>
      </c>
      <c r="T321" s="4">
        <f ca="1">(1+VLOOKUP(YEAR(A321),'ÖNYP kalkulátor'!$E$15:$F$75,2,FALSE)+VLOOKUP(YEAR(A321),'ÖNYP kalkulátor'!$E$15:$I$75,5,FALSE))^(1/12)-1</f>
        <v>4.0741237836483535E-3</v>
      </c>
      <c r="U321" s="8">
        <f t="shared" ca="1" si="51"/>
        <v>174096.04086824652</v>
      </c>
      <c r="V321" s="14">
        <f t="shared" ca="1" si="52"/>
        <v>42906239.223897547</v>
      </c>
      <c r="W321" s="8">
        <f t="shared" ca="1" si="53"/>
        <v>19523973.981820084</v>
      </c>
    </row>
    <row r="322" spans="1:23" x14ac:dyDescent="0.2">
      <c r="A322" s="6">
        <f t="shared" ca="1" si="57"/>
        <v>55366</v>
      </c>
      <c r="B322" s="12">
        <f t="shared" ca="1" si="58"/>
        <v>8</v>
      </c>
      <c r="C322" s="7">
        <f ca="1">(YEAR(A322)-YEAR('ÖNYP kalkulátor'!$C$10))+(MONTH(CF!A322)-MONTH('ÖNYP kalkulátor'!$C$10)-1)/12</f>
        <v>70.166666666666671</v>
      </c>
      <c r="D322" s="4">
        <f ca="1">(1+VLOOKUP(YEAR(A322),'ÖNYP kalkulátor'!$E$15:$F$75,2,FALSE))^(1/12)-1</f>
        <v>2.4662697723036864E-3</v>
      </c>
      <c r="E322" s="4">
        <f t="shared" ca="1" si="61"/>
        <v>2.2030380507979435</v>
      </c>
      <c r="F322" s="8">
        <f t="shared" ca="1" si="62"/>
        <v>42906239.223897547</v>
      </c>
      <c r="G322" s="8">
        <v>10000</v>
      </c>
      <c r="H322" s="8">
        <v>250000</v>
      </c>
      <c r="I322" s="8">
        <v>500000</v>
      </c>
      <c r="J322" s="8">
        <v>750000</v>
      </c>
      <c r="K322" s="8"/>
      <c r="L322" s="4">
        <f ca="1">+IF('ÖNYP kalkulátor'!$C$16="nem",0,
IF(MONTH(A322)=1,VLOOKUP(YEAR(A322),'ÖNYP kalkulátor'!$E$15:$J$75,4),0))</f>
        <v>0</v>
      </c>
      <c r="M322" s="8">
        <f t="shared" ca="1" si="59"/>
        <v>66638.670167104734</v>
      </c>
      <c r="N322" s="8">
        <f t="shared" ca="1" si="60"/>
        <v>22212.890055701588</v>
      </c>
      <c r="O322" s="8">
        <f t="shared" ca="1" si="54"/>
        <v>710812.48178245057</v>
      </c>
      <c r="P322" s="8">
        <f t="shared" ca="1" si="55"/>
        <v>678696.23214680154</v>
      </c>
      <c r="Q322" s="8">
        <f t="shared" ca="1" si="56"/>
        <v>87074.529018350178</v>
      </c>
      <c r="R322" s="13">
        <v>150000</v>
      </c>
      <c r="S322" s="13">
        <f ca="1">MIN(IF(AND(MONTH(A322)=5,'ÖNYP kalkulátor'!$IU$6="igen"),(M322+N322)*12/(1+IF('ÖNYP kalkulátor'!$C$16="nem",0,VLOOKUP(YEAR(A322),'ÖNYP kalkulátor'!$E$15:$J$75,4)))*0.2,0),R322)</f>
        <v>0</v>
      </c>
      <c r="T322" s="4">
        <f ca="1">(1+VLOOKUP(YEAR(A322),'ÖNYP kalkulátor'!$E$15:$F$75,2,FALSE)+VLOOKUP(YEAR(A322),'ÖNYP kalkulátor'!$E$15:$I$75,5,FALSE))^(1/12)-1</f>
        <v>4.0741237836483535E-3</v>
      </c>
      <c r="U322" s="8">
        <f t="shared" ref="U322:U385" ca="1" si="63">+(F322+Q322+S322)*T322</f>
        <v>175160.0820986105</v>
      </c>
      <c r="V322" s="14">
        <f t="shared" ref="V322:V385" ca="1" si="64">+F322+Q322+S322+U322</f>
        <v>43168473.835014507</v>
      </c>
      <c r="W322" s="8">
        <f t="shared" ref="W322:W385" ca="1" si="65">+V322/E322</f>
        <v>19594974.230871238</v>
      </c>
    </row>
    <row r="323" spans="1:23" x14ac:dyDescent="0.2">
      <c r="A323" s="6">
        <f t="shared" ca="1" si="57"/>
        <v>55397</v>
      </c>
      <c r="B323" s="12">
        <f t="shared" ca="1" si="58"/>
        <v>9</v>
      </c>
      <c r="C323" s="7">
        <f ca="1">(YEAR(A323)-YEAR('ÖNYP kalkulátor'!$C$10))+(MONTH(CF!A323)-MONTH('ÖNYP kalkulátor'!$C$10)-1)/12</f>
        <v>70.25</v>
      </c>
      <c r="D323" s="4">
        <f ca="1">(1+VLOOKUP(YEAR(A323),'ÖNYP kalkulátor'!$E$15:$F$75,2,FALSE))^(1/12)-1</f>
        <v>2.4662697723036864E-3</v>
      </c>
      <c r="E323" s="4">
        <f t="shared" ca="1" si="61"/>
        <v>2.2084713369498612</v>
      </c>
      <c r="F323" s="8">
        <f t="shared" ca="1" si="62"/>
        <v>43168473.835014507</v>
      </c>
      <c r="G323" s="8">
        <v>10000</v>
      </c>
      <c r="H323" s="8">
        <v>250000</v>
      </c>
      <c r="I323" s="8">
        <v>500000</v>
      </c>
      <c r="J323" s="8">
        <v>750000</v>
      </c>
      <c r="K323" s="8"/>
      <c r="L323" s="4">
        <f ca="1">+IF('ÖNYP kalkulátor'!$C$16="nem",0,
IF(MONTH(A323)=1,VLOOKUP(YEAR(A323),'ÖNYP kalkulátor'!$E$15:$J$75,4),0))</f>
        <v>0</v>
      </c>
      <c r="M323" s="8">
        <f t="shared" ca="1" si="59"/>
        <v>66638.670167104734</v>
      </c>
      <c r="N323" s="8">
        <f t="shared" ca="1" si="60"/>
        <v>22212.890055701588</v>
      </c>
      <c r="O323" s="8">
        <f t="shared" ref="O323:O386" ca="1" si="66">IF(YEAR(A323)=YEAR(A322),O322+M323+N323,M323+N323)</f>
        <v>799664.04200525687</v>
      </c>
      <c r="P323" s="8">
        <f t="shared" ref="P323:P386" ca="1" si="67">IF(O323&lt;G323,O323*$G$1,0)
+IF(AND(O323&lt;H323,O323&gt;=G323),G323*$G$1+(O323-G323)*$H$1,0)
+IF(AND(O323&lt;I323,O323&gt;=H323),G323*$G$1+(H323-G323)*$H$1+(O323-H323)*$I$1,0)
+IF(AND(O323&lt;J323,O323&gt;=I323),G323*$G$1+(H323-G323)*$H$1+(I323-H323)*$I$1+(O323-I323)*$J$1,0)
+IF(AND(O323&gt;=J323),G323*$G$1+(H323-G323)*$H$1+(I323-H323)*$I$1+(J323-I323)*$J$1+(O323-J323)*$K$1,0)</f>
        <v>766515.72179523064</v>
      </c>
      <c r="Q323" s="8">
        <f t="shared" ref="Q323:Q386" ca="1" si="68">IF(YEAR(A323)=YEAR(A322),P323-P322,P323)</f>
        <v>87819.489648429095</v>
      </c>
      <c r="R323" s="13">
        <v>150000</v>
      </c>
      <c r="S323" s="13">
        <f ca="1">MIN(IF(AND(MONTH(A323)=5,'ÖNYP kalkulátor'!$IU$6="igen"),(M323+N323)*12/(1+IF('ÖNYP kalkulátor'!$C$16="nem",0,VLOOKUP(YEAR(A323),'ÖNYP kalkulátor'!$E$15:$J$75,4)))*0.2,0),R323)</f>
        <v>0</v>
      </c>
      <c r="T323" s="4">
        <f ca="1">(1+VLOOKUP(YEAR(A323),'ÖNYP kalkulátor'!$E$15:$F$75,2,FALSE)+VLOOKUP(YEAR(A323),'ÖNYP kalkulátor'!$E$15:$I$75,5,FALSE))^(1/12)-1</f>
        <v>4.0741237836483535E-3</v>
      </c>
      <c r="U323" s="8">
        <f t="shared" ca="1" si="63"/>
        <v>176231.49342647879</v>
      </c>
      <c r="V323" s="14">
        <f t="shared" ca="1" si="64"/>
        <v>43432524.818089418</v>
      </c>
      <c r="W323" s="8">
        <f t="shared" ca="1" si="65"/>
        <v>19666329.415927332</v>
      </c>
    </row>
    <row r="324" spans="1:23" x14ac:dyDescent="0.2">
      <c r="A324" s="6">
        <f t="shared" ref="A324:A387" ca="1" si="69">+DATE(YEAR(A323),MONTH(A323)+1,1)</f>
        <v>55427</v>
      </c>
      <c r="B324" s="12">
        <f t="shared" ref="B324:B387" ca="1" si="70">+IF(YEAR(A324)=YEAR(A323),B323+1,1)</f>
        <v>10</v>
      </c>
      <c r="C324" s="7">
        <f ca="1">(YEAR(A324)-YEAR('ÖNYP kalkulátor'!$C$10))+(MONTH(CF!A324)-MONTH('ÖNYP kalkulátor'!$C$10)-1)/12</f>
        <v>70.333333333333329</v>
      </c>
      <c r="D324" s="4">
        <f ca="1">(1+VLOOKUP(YEAR(A324),'ÖNYP kalkulátor'!$E$15:$F$75,2,FALSE))^(1/12)-1</f>
        <v>2.4662697723036864E-3</v>
      </c>
      <c r="E324" s="4">
        <f t="shared" ca="1" si="61"/>
        <v>2.2139180230511797</v>
      </c>
      <c r="F324" s="8">
        <f t="shared" ca="1" si="62"/>
        <v>43432524.818089418</v>
      </c>
      <c r="G324" s="8">
        <v>10000</v>
      </c>
      <c r="H324" s="8">
        <v>250000</v>
      </c>
      <c r="I324" s="8">
        <v>500000</v>
      </c>
      <c r="J324" s="8">
        <v>750000</v>
      </c>
      <c r="K324" s="8"/>
      <c r="L324" s="4">
        <f ca="1">+IF('ÖNYP kalkulátor'!$C$16="nem",0,
IF(MONTH(A324)=1,VLOOKUP(YEAR(A324),'ÖNYP kalkulátor'!$E$15:$J$75,4),0))</f>
        <v>0</v>
      </c>
      <c r="M324" s="8">
        <f t="shared" ref="M324:M387" ca="1" si="71">M323*(1+L324)</f>
        <v>66638.670167104734</v>
      </c>
      <c r="N324" s="8">
        <f t="shared" ref="N324:N387" ca="1" si="72">N323*(1+L324)</f>
        <v>22212.890055701588</v>
      </c>
      <c r="O324" s="8">
        <f t="shared" ca="1" si="66"/>
        <v>888515.60222806316</v>
      </c>
      <c r="P324" s="8">
        <f t="shared" ca="1" si="67"/>
        <v>854923.02421692281</v>
      </c>
      <c r="Q324" s="8">
        <f t="shared" ca="1" si="68"/>
        <v>88407.302421692177</v>
      </c>
      <c r="R324" s="13">
        <v>150000</v>
      </c>
      <c r="S324" s="13">
        <f ca="1">MIN(IF(AND(MONTH(A324)=5,'ÖNYP kalkulátor'!$IU$6="igen"),(M324+N324)*12/(1+IF('ÖNYP kalkulátor'!$C$16="nem",0,VLOOKUP(YEAR(A324),'ÖNYP kalkulátor'!$E$15:$J$75,4)))*0.2,0),R324)</f>
        <v>0</v>
      </c>
      <c r="T324" s="4">
        <f ca="1">(1+VLOOKUP(YEAR(A324),'ÖNYP kalkulátor'!$E$15:$F$75,2,FALSE)+VLOOKUP(YEAR(A324),'ÖNYP kalkulátor'!$E$15:$I$75,5,FALSE))^(1/12)-1</f>
        <v>4.0741237836483535E-3</v>
      </c>
      <c r="U324" s="8">
        <f t="shared" ca="1" si="63"/>
        <v>177309.66463871987</v>
      </c>
      <c r="V324" s="14">
        <f t="shared" ca="1" si="64"/>
        <v>43698241.785149828</v>
      </c>
      <c r="W324" s="8">
        <f t="shared" ca="1" si="65"/>
        <v>19737967.408985514</v>
      </c>
    </row>
    <row r="325" spans="1:23" x14ac:dyDescent="0.2">
      <c r="A325" s="6">
        <f t="shared" ca="1" si="69"/>
        <v>55458</v>
      </c>
      <c r="B325" s="12">
        <f t="shared" ca="1" si="70"/>
        <v>11</v>
      </c>
      <c r="C325" s="7">
        <f ca="1">(YEAR(A325)-YEAR('ÖNYP kalkulátor'!$C$10))+(MONTH(CF!A325)-MONTH('ÖNYP kalkulátor'!$C$10)-1)/12</f>
        <v>70.416666666666671</v>
      </c>
      <c r="D325" s="4">
        <f ca="1">(1+VLOOKUP(YEAR(A325),'ÖNYP kalkulátor'!$E$15:$F$75,2,FALSE))^(1/12)-1</f>
        <v>2.4662697723036864E-3</v>
      </c>
      <c r="E325" s="4">
        <f t="shared" ca="1" si="61"/>
        <v>2.2193781421497891</v>
      </c>
      <c r="F325" s="8">
        <f t="shared" ca="1" si="62"/>
        <v>43698241.785149828</v>
      </c>
      <c r="G325" s="8">
        <v>10000</v>
      </c>
      <c r="H325" s="8">
        <v>250000</v>
      </c>
      <c r="I325" s="8">
        <v>500000</v>
      </c>
      <c r="J325" s="8">
        <v>750000</v>
      </c>
      <c r="K325" s="8"/>
      <c r="L325" s="4">
        <f ca="1">+IF('ÖNYP kalkulátor'!$C$16="nem",0,
IF(MONTH(A325)=1,VLOOKUP(YEAR(A325),'ÖNYP kalkulátor'!$E$15:$J$75,4),0))</f>
        <v>0</v>
      </c>
      <c r="M325" s="8">
        <f t="shared" ca="1" si="71"/>
        <v>66638.670167104734</v>
      </c>
      <c r="N325" s="8">
        <f t="shared" ca="1" si="72"/>
        <v>22212.890055701588</v>
      </c>
      <c r="O325" s="8">
        <f t="shared" ca="1" si="66"/>
        <v>977367.16245086945</v>
      </c>
      <c r="P325" s="8">
        <f t="shared" ca="1" si="67"/>
        <v>943330.32663861511</v>
      </c>
      <c r="Q325" s="8">
        <f t="shared" ca="1" si="68"/>
        <v>88407.302421692293</v>
      </c>
      <c r="R325" s="13">
        <v>150000</v>
      </c>
      <c r="S325" s="13">
        <f ca="1">MIN(IF(AND(MONTH(A325)=5,'ÖNYP kalkulátor'!$IU$6="igen"),(M325+N325)*12/(1+IF('ÖNYP kalkulátor'!$C$16="nem",0,VLOOKUP(YEAR(A325),'ÖNYP kalkulátor'!$E$15:$J$75,4)))*0.2,0),R325)</f>
        <v>0</v>
      </c>
      <c r="T325" s="4">
        <f ca="1">(1+VLOOKUP(YEAR(A325),'ÖNYP kalkulátor'!$E$15:$F$75,2,FALSE)+VLOOKUP(YEAR(A325),'ÖNYP kalkulátor'!$E$15:$I$75,5,FALSE))^(1/12)-1</f>
        <v>4.0741237836483535E-3</v>
      </c>
      <c r="U325" s="8">
        <f t="shared" ca="1" si="63"/>
        <v>178392.22845393961</v>
      </c>
      <c r="V325" s="14">
        <f t="shared" ca="1" si="64"/>
        <v>43965041.316025458</v>
      </c>
      <c r="W325" s="8">
        <f t="shared" ca="1" si="65"/>
        <v>19809621.659803744</v>
      </c>
    </row>
    <row r="326" spans="1:23" x14ac:dyDescent="0.2">
      <c r="A326" s="6">
        <f t="shared" ca="1" si="69"/>
        <v>55488</v>
      </c>
      <c r="B326" s="12">
        <f t="shared" ca="1" si="70"/>
        <v>12</v>
      </c>
      <c r="C326" s="7">
        <f ca="1">(YEAR(A326)-YEAR('ÖNYP kalkulátor'!$C$10))+(MONTH(CF!A326)-MONTH('ÖNYP kalkulátor'!$C$10)-1)/12</f>
        <v>70.5</v>
      </c>
      <c r="D326" s="4">
        <f ca="1">(1+VLOOKUP(YEAR(A326),'ÖNYP kalkulátor'!$E$15:$F$75,2,FALSE))^(1/12)-1</f>
        <v>2.4662697723036864E-3</v>
      </c>
      <c r="E326" s="4">
        <f t="shared" ca="1" si="61"/>
        <v>2.2248517273750847</v>
      </c>
      <c r="F326" s="8">
        <f t="shared" ca="1" si="62"/>
        <v>43965041.316025458</v>
      </c>
      <c r="G326" s="8">
        <v>10000</v>
      </c>
      <c r="H326" s="8">
        <v>250000</v>
      </c>
      <c r="I326" s="8">
        <v>500000</v>
      </c>
      <c r="J326" s="8">
        <v>750000</v>
      </c>
      <c r="K326" s="8"/>
      <c r="L326" s="4">
        <f ca="1">+IF('ÖNYP kalkulátor'!$C$16="nem",0,
IF(MONTH(A326)=1,VLOOKUP(YEAR(A326),'ÖNYP kalkulátor'!$E$15:$J$75,4),0))</f>
        <v>0</v>
      </c>
      <c r="M326" s="8">
        <f t="shared" ca="1" si="71"/>
        <v>66638.670167104734</v>
      </c>
      <c r="N326" s="8">
        <f t="shared" ca="1" si="72"/>
        <v>22212.890055701588</v>
      </c>
      <c r="O326" s="8">
        <f t="shared" ca="1" si="66"/>
        <v>1066218.7226736757</v>
      </c>
      <c r="P326" s="8">
        <f t="shared" ca="1" si="67"/>
        <v>1031737.6290603073</v>
      </c>
      <c r="Q326" s="8">
        <f t="shared" ca="1" si="68"/>
        <v>88407.302421692177</v>
      </c>
      <c r="R326" s="13">
        <v>150000</v>
      </c>
      <c r="S326" s="13">
        <f ca="1">MIN(IF(AND(MONTH(A326)=5,'ÖNYP kalkulátor'!$IU$6="igen"),(M326+N326)*12/(1+IF('ÖNYP kalkulátor'!$C$16="nem",0,VLOOKUP(YEAR(A326),'ÖNYP kalkulátor'!$E$15:$J$75,4)))*0.2,0),R326)</f>
        <v>0</v>
      </c>
      <c r="T326" s="4">
        <f ca="1">(1+VLOOKUP(YEAR(A326),'ÖNYP kalkulátor'!$E$15:$F$75,2,FALSE)+VLOOKUP(YEAR(A326),'ÖNYP kalkulátor'!$E$15:$I$75,5,FALSE))^(1/12)-1</f>
        <v>4.0741237836483535E-3</v>
      </c>
      <c r="U326" s="8">
        <f t="shared" ca="1" si="63"/>
        <v>179479.20276814624</v>
      </c>
      <c r="V326" s="14">
        <f t="shared" ca="1" si="64"/>
        <v>44232927.821215294</v>
      </c>
      <c r="W326" s="8">
        <f t="shared" ca="1" si="65"/>
        <v>19881292.437137824</v>
      </c>
    </row>
    <row r="327" spans="1:23" x14ac:dyDescent="0.2">
      <c r="A327" s="6">
        <f t="shared" ca="1" si="69"/>
        <v>55519</v>
      </c>
      <c r="B327" s="12">
        <f t="shared" ca="1" si="70"/>
        <v>1</v>
      </c>
      <c r="C327" s="7">
        <f ca="1">(YEAR(A327)-YEAR('ÖNYP kalkulátor'!$C$10))+(MONTH(CF!A327)-MONTH('ÖNYP kalkulátor'!$C$10)-1)/12</f>
        <v>70.583333333333329</v>
      </c>
      <c r="D327" s="4">
        <f ca="1">(1+VLOOKUP(YEAR(A327),'ÖNYP kalkulátor'!$E$15:$F$75,2,FALSE))^(1/12)-1</f>
        <v>2.4662697723036864E-3</v>
      </c>
      <c r="E327" s="4">
        <f t="shared" ca="1" si="61"/>
        <v>2.2303388119381675</v>
      </c>
      <c r="F327" s="8">
        <f t="shared" ca="1" si="62"/>
        <v>44232927.821215294</v>
      </c>
      <c r="G327" s="8">
        <v>10000</v>
      </c>
      <c r="H327" s="8">
        <v>250000</v>
      </c>
      <c r="I327" s="8">
        <v>500000</v>
      </c>
      <c r="J327" s="8">
        <v>750000</v>
      </c>
      <c r="K327" s="8"/>
      <c r="L327" s="4">
        <f ca="1">+IF('ÖNYP kalkulátor'!$C$16="nem",0,
IF(MONTH(A327)=1,VLOOKUP(YEAR(A327),'ÖNYP kalkulátor'!$E$15:$J$75,4),0))</f>
        <v>0.03</v>
      </c>
      <c r="M327" s="8">
        <f t="shared" ca="1" si="71"/>
        <v>68637.830272117877</v>
      </c>
      <c r="N327" s="8">
        <f t="shared" ca="1" si="72"/>
        <v>22879.276757372634</v>
      </c>
      <c r="O327" s="8">
        <f t="shared" ca="1" si="66"/>
        <v>91517.107029490508</v>
      </c>
      <c r="P327" s="8">
        <f t="shared" ca="1" si="67"/>
        <v>85626.080607721073</v>
      </c>
      <c r="Q327" s="8">
        <f t="shared" ca="1" si="68"/>
        <v>85626.080607721073</v>
      </c>
      <c r="R327" s="13">
        <v>150000</v>
      </c>
      <c r="S327" s="13">
        <f ca="1">MIN(IF(AND(MONTH(A327)=5,'ÖNYP kalkulátor'!$IU$6="igen"),(M327+N327)*12/(1+IF('ÖNYP kalkulátor'!$C$16="nem",0,VLOOKUP(YEAR(A327),'ÖNYP kalkulátor'!$E$15:$J$75,4)))*0.2,0),R327)</f>
        <v>0</v>
      </c>
      <c r="T327" s="4">
        <f ca="1">(1+VLOOKUP(YEAR(A327),'ÖNYP kalkulátor'!$E$15:$F$75,2,FALSE)+VLOOKUP(YEAR(A327),'ÖNYP kalkulátor'!$E$15:$I$75,5,FALSE))^(1/12)-1</f>
        <v>4.0741237836483535E-3</v>
      </c>
      <c r="U327" s="8">
        <f t="shared" ca="1" si="63"/>
        <v>180559.27450831869</v>
      </c>
      <c r="V327" s="14">
        <f t="shared" ca="1" si="64"/>
        <v>44499113.176331334</v>
      </c>
      <c r="W327" s="8">
        <f t="shared" ca="1" si="65"/>
        <v>19951727.933955263</v>
      </c>
    </row>
    <row r="328" spans="1:23" x14ac:dyDescent="0.2">
      <c r="A328" s="6">
        <f t="shared" ca="1" si="69"/>
        <v>55550</v>
      </c>
      <c r="B328" s="12">
        <f t="shared" ca="1" si="70"/>
        <v>2</v>
      </c>
      <c r="C328" s="7">
        <f ca="1">(YEAR(A328)-YEAR('ÖNYP kalkulátor'!$C$10))+(MONTH(CF!A328)-MONTH('ÖNYP kalkulátor'!$C$10)-1)/12</f>
        <v>70.666666666666671</v>
      </c>
      <c r="D328" s="4">
        <f ca="1">(1+VLOOKUP(YEAR(A328),'ÖNYP kalkulátor'!$E$15:$F$75,2,FALSE))^(1/12)-1</f>
        <v>2.4662697723036864E-3</v>
      </c>
      <c r="E328" s="4">
        <f t="shared" ca="1" si="61"/>
        <v>2.2358394291320463</v>
      </c>
      <c r="F328" s="8">
        <f t="shared" ca="1" si="62"/>
        <v>44499113.176331334</v>
      </c>
      <c r="G328" s="8">
        <v>10000</v>
      </c>
      <c r="H328" s="8">
        <v>250000</v>
      </c>
      <c r="I328" s="8">
        <v>500000</v>
      </c>
      <c r="J328" s="8">
        <v>750000</v>
      </c>
      <c r="K328" s="8"/>
      <c r="L328" s="4">
        <f ca="1">+IF('ÖNYP kalkulátor'!$C$16="nem",0,
IF(MONTH(A328)=1,VLOOKUP(YEAR(A328),'ÖNYP kalkulátor'!$E$15:$J$75,4),0))</f>
        <v>0</v>
      </c>
      <c r="M328" s="8">
        <f t="shared" ca="1" si="71"/>
        <v>68637.830272117877</v>
      </c>
      <c r="N328" s="8">
        <f t="shared" ca="1" si="72"/>
        <v>22879.276757372634</v>
      </c>
      <c r="O328" s="8">
        <f t="shared" ca="1" si="66"/>
        <v>183034.21405898102</v>
      </c>
      <c r="P328" s="8">
        <f t="shared" ca="1" si="67"/>
        <v>171652.16121544215</v>
      </c>
      <c r="Q328" s="8">
        <f t="shared" ca="1" si="68"/>
        <v>86026.080607721073</v>
      </c>
      <c r="R328" s="13">
        <v>150000</v>
      </c>
      <c r="S328" s="13">
        <f ca="1">MIN(IF(AND(MONTH(A328)=5,'ÖNYP kalkulátor'!$IU$6="igen"),(M328+N328)*12/(1+IF('ÖNYP kalkulátor'!$C$16="nem",0,VLOOKUP(YEAR(A328),'ÖNYP kalkulátor'!$E$15:$J$75,4)))*0.2,0),R328)</f>
        <v>0</v>
      </c>
      <c r="T328" s="4">
        <f ca="1">(1+VLOOKUP(YEAR(A328),'ÖNYP kalkulátor'!$E$15:$F$75,2,FALSE)+VLOOKUP(YEAR(A328),'ÖNYP kalkulátor'!$E$15:$I$75,5,FALSE))^(1/12)-1</f>
        <v>4.0741237836483535E-3</v>
      </c>
      <c r="U328" s="8">
        <f t="shared" ca="1" si="63"/>
        <v>181645.37624396928</v>
      </c>
      <c r="V328" s="14">
        <f t="shared" ca="1" si="64"/>
        <v>44766784.633183025</v>
      </c>
      <c r="W328" s="8">
        <f t="shared" ca="1" si="65"/>
        <v>20022361.199060485</v>
      </c>
    </row>
    <row r="329" spans="1:23" x14ac:dyDescent="0.2">
      <c r="A329" s="6">
        <f t="shared" ca="1" si="69"/>
        <v>55579</v>
      </c>
      <c r="B329" s="12">
        <f t="shared" ca="1" si="70"/>
        <v>3</v>
      </c>
      <c r="C329" s="7">
        <f ca="1">(YEAR(A329)-YEAR('ÖNYP kalkulátor'!$C$10))+(MONTH(CF!A329)-MONTH('ÖNYP kalkulátor'!$C$10)-1)/12</f>
        <v>70.75</v>
      </c>
      <c r="D329" s="4">
        <f ca="1">(1+VLOOKUP(YEAR(A329),'ÖNYP kalkulátor'!$E$15:$F$75,2,FALSE))^(1/12)-1</f>
        <v>2.4662697723036864E-3</v>
      </c>
      <c r="E329" s="4">
        <f t="shared" ca="1" si="61"/>
        <v>2.2413536123318392</v>
      </c>
      <c r="F329" s="8">
        <f t="shared" ca="1" si="62"/>
        <v>44766784.633183025</v>
      </c>
      <c r="G329" s="8">
        <v>10000</v>
      </c>
      <c r="H329" s="8">
        <v>250000</v>
      </c>
      <c r="I329" s="8">
        <v>500000</v>
      </c>
      <c r="J329" s="8">
        <v>750000</v>
      </c>
      <c r="K329" s="8"/>
      <c r="L329" s="4">
        <f ca="1">+IF('ÖNYP kalkulátor'!$C$16="nem",0,
IF(MONTH(A329)=1,VLOOKUP(YEAR(A329),'ÖNYP kalkulátor'!$E$15:$J$75,4),0))</f>
        <v>0</v>
      </c>
      <c r="M329" s="8">
        <f t="shared" ca="1" si="71"/>
        <v>68637.830272117877</v>
      </c>
      <c r="N329" s="8">
        <f t="shared" ca="1" si="72"/>
        <v>22879.276757372634</v>
      </c>
      <c r="O329" s="8">
        <f t="shared" ca="1" si="66"/>
        <v>274551.32108847157</v>
      </c>
      <c r="P329" s="8">
        <f t="shared" ca="1" si="67"/>
        <v>257923.75503404799</v>
      </c>
      <c r="Q329" s="8">
        <f t="shared" ca="1" si="68"/>
        <v>86271.593818605848</v>
      </c>
      <c r="R329" s="13">
        <v>150000</v>
      </c>
      <c r="S329" s="13">
        <f ca="1">MIN(IF(AND(MONTH(A329)=5,'ÖNYP kalkulátor'!$IU$6="igen"),(M329+N329)*12/(1+IF('ÖNYP kalkulátor'!$C$16="nem",0,VLOOKUP(YEAR(A329),'ÖNYP kalkulátor'!$E$15:$J$75,4)))*0.2,0),R329)</f>
        <v>0</v>
      </c>
      <c r="T329" s="4">
        <f ca="1">(1+VLOOKUP(YEAR(A329),'ÖNYP kalkulátor'!$E$15:$F$75,2,FALSE)+VLOOKUP(YEAR(A329),'ÖNYP kalkulátor'!$E$15:$I$75,5,FALSE))^(1/12)-1</f>
        <v>4.0741237836483535E-3</v>
      </c>
      <c r="U329" s="8">
        <f t="shared" ca="1" si="63"/>
        <v>182736.90314374422</v>
      </c>
      <c r="V329" s="14">
        <f t="shared" ca="1" si="64"/>
        <v>45035793.130145371</v>
      </c>
      <c r="W329" s="8">
        <f t="shared" ca="1" si="65"/>
        <v>20093122.692626551</v>
      </c>
    </row>
    <row r="330" spans="1:23" x14ac:dyDescent="0.2">
      <c r="A330" s="6">
        <f t="shared" ca="1" si="69"/>
        <v>55610</v>
      </c>
      <c r="B330" s="12">
        <f t="shared" ca="1" si="70"/>
        <v>4</v>
      </c>
      <c r="C330" s="7">
        <f ca="1">(YEAR(A330)-YEAR('ÖNYP kalkulátor'!$C$10))+(MONTH(CF!A330)-MONTH('ÖNYP kalkulátor'!$C$10)-1)/12</f>
        <v>70.833333333333329</v>
      </c>
      <c r="D330" s="4">
        <f ca="1">(1+VLOOKUP(YEAR(A330),'ÖNYP kalkulátor'!$E$15:$F$75,2,FALSE))^(1/12)-1</f>
        <v>2.4662697723036864E-3</v>
      </c>
      <c r="E330" s="4">
        <f t="shared" ca="1" si="61"/>
        <v>2.2468813949949769</v>
      </c>
      <c r="F330" s="8">
        <f t="shared" ca="1" si="62"/>
        <v>45035793.130145371</v>
      </c>
      <c r="G330" s="8">
        <v>10000</v>
      </c>
      <c r="H330" s="8">
        <v>250000</v>
      </c>
      <c r="I330" s="8">
        <v>500000</v>
      </c>
      <c r="J330" s="8">
        <v>750000</v>
      </c>
      <c r="K330" s="8"/>
      <c r="L330" s="4">
        <f ca="1">+IF('ÖNYP kalkulátor'!$C$16="nem",0,
IF(MONTH(A330)=1,VLOOKUP(YEAR(A330),'ÖNYP kalkulátor'!$E$15:$J$75,4),0))</f>
        <v>0</v>
      </c>
      <c r="M330" s="8">
        <f t="shared" ca="1" si="71"/>
        <v>68637.830272117877</v>
      </c>
      <c r="N330" s="8">
        <f t="shared" ca="1" si="72"/>
        <v>22879.276757372634</v>
      </c>
      <c r="O330" s="8">
        <f t="shared" ca="1" si="66"/>
        <v>366068.42811796209</v>
      </c>
      <c r="P330" s="8">
        <f t="shared" ca="1" si="67"/>
        <v>344865.00671206397</v>
      </c>
      <c r="Q330" s="8">
        <f t="shared" ca="1" si="68"/>
        <v>86941.251678015979</v>
      </c>
      <c r="R330" s="13">
        <v>150000</v>
      </c>
      <c r="S330" s="13">
        <f ca="1">MIN(IF(AND(MONTH(A330)=5,'ÖNYP kalkulátor'!$IU$6="igen"),(M330+N330)*12/(1+IF('ÖNYP kalkulátor'!$C$16="nem",0,VLOOKUP(YEAR(A330),'ÖNYP kalkulátor'!$E$15:$J$75,4)))*0.2,0),R330)</f>
        <v>0</v>
      </c>
      <c r="T330" s="4">
        <f ca="1">(1+VLOOKUP(YEAR(A330),'ÖNYP kalkulátor'!$E$15:$F$75,2,FALSE)+VLOOKUP(YEAR(A330),'ÖNYP kalkulátor'!$E$15:$I$75,5,FALSE))^(1/12)-1</f>
        <v>4.0741237836483535E-3</v>
      </c>
      <c r="U330" s="8">
        <f t="shared" ca="1" si="63"/>
        <v>183835.60532823394</v>
      </c>
      <c r="V330" s="14">
        <f t="shared" ca="1" si="64"/>
        <v>45306569.987151615</v>
      </c>
      <c r="W330" s="8">
        <f t="shared" ca="1" si="65"/>
        <v>20164201.852431513</v>
      </c>
    </row>
    <row r="331" spans="1:23" x14ac:dyDescent="0.2">
      <c r="A331" s="6">
        <f t="shared" ca="1" si="69"/>
        <v>55640</v>
      </c>
      <c r="B331" s="12">
        <f t="shared" ca="1" si="70"/>
        <v>5</v>
      </c>
      <c r="C331" s="7">
        <f ca="1">(YEAR(A331)-YEAR('ÖNYP kalkulátor'!$C$10))+(MONTH(CF!A331)-MONTH('ÖNYP kalkulátor'!$C$10)-1)/12</f>
        <v>70.916666666666671</v>
      </c>
      <c r="D331" s="4">
        <f ca="1">(1+VLOOKUP(YEAR(A331),'ÖNYP kalkulátor'!$E$15:$F$75,2,FALSE))^(1/12)-1</f>
        <v>2.4662697723036864E-3</v>
      </c>
      <c r="E331" s="4">
        <f t="shared" ca="1" si="61"/>
        <v>2.2524228106614044</v>
      </c>
      <c r="F331" s="8">
        <f t="shared" ca="1" si="62"/>
        <v>45306569.987151615</v>
      </c>
      <c r="G331" s="8">
        <v>10000</v>
      </c>
      <c r="H331" s="8">
        <v>250000</v>
      </c>
      <c r="I331" s="8">
        <v>500000</v>
      </c>
      <c r="J331" s="8">
        <v>750000</v>
      </c>
      <c r="K331" s="8"/>
      <c r="L331" s="4">
        <f ca="1">+IF('ÖNYP kalkulátor'!$C$16="nem",0,
IF(MONTH(A331)=1,VLOOKUP(YEAR(A331),'ÖNYP kalkulátor'!$E$15:$J$75,4),0))</f>
        <v>0</v>
      </c>
      <c r="M331" s="8">
        <f t="shared" ca="1" si="71"/>
        <v>68637.830272117877</v>
      </c>
      <c r="N331" s="8">
        <f t="shared" ca="1" si="72"/>
        <v>22879.276757372634</v>
      </c>
      <c r="O331" s="8">
        <f t="shared" ca="1" si="66"/>
        <v>457585.53514745261</v>
      </c>
      <c r="P331" s="8">
        <f t="shared" ca="1" si="67"/>
        <v>431806.25839007995</v>
      </c>
      <c r="Q331" s="8">
        <f t="shared" ca="1" si="68"/>
        <v>86941.251678015979</v>
      </c>
      <c r="R331" s="13">
        <v>150000</v>
      </c>
      <c r="S331" s="13">
        <f ca="1">MIN(IF(AND(MONTH(A331)=5,'ÖNYP kalkulátor'!$IU$6="igen"),(M331+N331)*12/(1+IF('ÖNYP kalkulátor'!$C$16="nem",0,VLOOKUP(YEAR(A331),'ÖNYP kalkulátor'!$E$15:$J$75,4)))*0.2,0),R331)</f>
        <v>150000</v>
      </c>
      <c r="T331" s="4">
        <f ca="1">(1+VLOOKUP(YEAR(A331),'ÖNYP kalkulátor'!$E$15:$F$75,2,FALSE)+VLOOKUP(YEAR(A331),'ÖNYP kalkulátor'!$E$15:$I$75,5,FALSE))^(1/12)-1</f>
        <v>4.0741237836483535E-3</v>
      </c>
      <c r="U331" s="8">
        <f t="shared" ca="1" si="63"/>
        <v>185549.90232897186</v>
      </c>
      <c r="V331" s="14">
        <f t="shared" ca="1" si="64"/>
        <v>45729061.141158603</v>
      </c>
      <c r="W331" s="8">
        <f t="shared" ca="1" si="65"/>
        <v>20302165.705616638</v>
      </c>
    </row>
    <row r="332" spans="1:23" x14ac:dyDescent="0.2">
      <c r="A332" s="6">
        <f t="shared" ca="1" si="69"/>
        <v>55671</v>
      </c>
      <c r="B332" s="12">
        <f t="shared" ca="1" si="70"/>
        <v>6</v>
      </c>
      <c r="C332" s="7">
        <f ca="1">(YEAR(A332)-YEAR('ÖNYP kalkulátor'!$C$10))+(MONTH(CF!A332)-MONTH('ÖNYP kalkulátor'!$C$10)-1)/12</f>
        <v>71</v>
      </c>
      <c r="D332" s="4">
        <f ca="1">(1+VLOOKUP(YEAR(A332),'ÖNYP kalkulátor'!$E$15:$F$75,2,FALSE))^(1/12)-1</f>
        <v>2.4662697723036864E-3</v>
      </c>
      <c r="E332" s="4">
        <f t="shared" ca="1" si="61"/>
        <v>2.2579778929537859</v>
      </c>
      <c r="F332" s="8">
        <f t="shared" ca="1" si="62"/>
        <v>45729061.141158603</v>
      </c>
      <c r="G332" s="8">
        <v>10000</v>
      </c>
      <c r="H332" s="8">
        <v>250000</v>
      </c>
      <c r="I332" s="8">
        <v>500000</v>
      </c>
      <c r="J332" s="8">
        <v>750000</v>
      </c>
      <c r="K332" s="8"/>
      <c r="L332" s="4">
        <f ca="1">+IF('ÖNYP kalkulátor'!$C$16="nem",0,
IF(MONTH(A332)=1,VLOOKUP(YEAR(A332),'ÖNYP kalkulátor'!$E$15:$J$75,4),0))</f>
        <v>0</v>
      </c>
      <c r="M332" s="8">
        <f t="shared" ca="1" si="71"/>
        <v>68637.830272117877</v>
      </c>
      <c r="N332" s="8">
        <f t="shared" ca="1" si="72"/>
        <v>22879.276757372634</v>
      </c>
      <c r="O332" s="8">
        <f t="shared" ca="1" si="66"/>
        <v>549102.64217694313</v>
      </c>
      <c r="P332" s="8">
        <f t="shared" ca="1" si="67"/>
        <v>520220.58933340426</v>
      </c>
      <c r="Q332" s="8">
        <f t="shared" ca="1" si="68"/>
        <v>88414.330943324312</v>
      </c>
      <c r="R332" s="13">
        <v>150000</v>
      </c>
      <c r="S332" s="13">
        <f ca="1">MIN(IF(AND(MONTH(A332)=5,'ÖNYP kalkulátor'!$IU$6="igen"),(M332+N332)*12/(1+IF('ÖNYP kalkulátor'!$C$16="nem",0,VLOOKUP(YEAR(A332),'ÖNYP kalkulátor'!$E$15:$J$75,4)))*0.2,0),R332)</f>
        <v>0</v>
      </c>
      <c r="T332" s="4">
        <f ca="1">(1+VLOOKUP(YEAR(A332),'ÖNYP kalkulátor'!$E$15:$F$75,2,FALSE)+VLOOKUP(YEAR(A332),'ÖNYP kalkulátor'!$E$15:$I$75,5,FALSE))^(1/12)-1</f>
        <v>4.0741237836483535E-3</v>
      </c>
      <c r="U332" s="8">
        <f t="shared" ca="1" si="63"/>
        <v>186666.06652761553</v>
      </c>
      <c r="V332" s="14">
        <f t="shared" ca="1" si="64"/>
        <v>46004141.538629539</v>
      </c>
      <c r="W332" s="8">
        <f t="shared" ca="1" si="65"/>
        <v>20374044.264201798</v>
      </c>
    </row>
    <row r="333" spans="1:23" x14ac:dyDescent="0.2">
      <c r="A333" s="6">
        <f t="shared" ca="1" si="69"/>
        <v>55701</v>
      </c>
      <c r="B333" s="12">
        <f t="shared" ca="1" si="70"/>
        <v>7</v>
      </c>
      <c r="C333" s="7">
        <f ca="1">(YEAR(A333)-YEAR('ÖNYP kalkulátor'!$C$10))+(MONTH(CF!A333)-MONTH('ÖNYP kalkulátor'!$C$10)-1)/12</f>
        <v>71.083333333333329</v>
      </c>
      <c r="D333" s="4">
        <f ca="1">(1+VLOOKUP(YEAR(A333),'ÖNYP kalkulátor'!$E$15:$F$75,2,FALSE))^(1/12)-1</f>
        <v>2.4662697723036864E-3</v>
      </c>
      <c r="E333" s="4">
        <f t="shared" ca="1" si="61"/>
        <v>2.2635466755777078</v>
      </c>
      <c r="F333" s="8">
        <f t="shared" ca="1" si="62"/>
        <v>46004141.538629539</v>
      </c>
      <c r="G333" s="8">
        <v>10000</v>
      </c>
      <c r="H333" s="8">
        <v>250000</v>
      </c>
      <c r="I333" s="8">
        <v>500000</v>
      </c>
      <c r="J333" s="8">
        <v>750000</v>
      </c>
      <c r="K333" s="8"/>
      <c r="L333" s="4">
        <f ca="1">+IF('ÖNYP kalkulátor'!$C$16="nem",0,
IF(MONTH(A333)=1,VLOOKUP(YEAR(A333),'ÖNYP kalkulátor'!$E$15:$J$75,4),0))</f>
        <v>0</v>
      </c>
      <c r="M333" s="8">
        <f t="shared" ca="1" si="71"/>
        <v>68637.830272117877</v>
      </c>
      <c r="N333" s="8">
        <f t="shared" ca="1" si="72"/>
        <v>22879.276757372634</v>
      </c>
      <c r="O333" s="8">
        <f t="shared" ca="1" si="66"/>
        <v>640619.74920643365</v>
      </c>
      <c r="P333" s="8">
        <f t="shared" ca="1" si="67"/>
        <v>609907.354222305</v>
      </c>
      <c r="Q333" s="8">
        <f t="shared" ca="1" si="68"/>
        <v>89686.76488890074</v>
      </c>
      <c r="R333" s="13">
        <v>150000</v>
      </c>
      <c r="S333" s="13">
        <f ca="1">MIN(IF(AND(MONTH(A333)=5,'ÖNYP kalkulátor'!$IU$6="igen"),(M333+N333)*12/(1+IF('ÖNYP kalkulátor'!$C$16="nem",0,VLOOKUP(YEAR(A333),'ÖNYP kalkulátor'!$E$15:$J$75,4)))*0.2,0),R333)</f>
        <v>0</v>
      </c>
      <c r="T333" s="4">
        <f ca="1">(1+VLOOKUP(YEAR(A333),'ÖNYP kalkulátor'!$E$15:$F$75,2,FALSE)+VLOOKUP(YEAR(A333),'ÖNYP kalkulátor'!$E$15:$I$75,5,FALSE))^(1/12)-1</f>
        <v>4.0741237836483535E-3</v>
      </c>
      <c r="U333" s="8">
        <f t="shared" ca="1" si="63"/>
        <v>187791.96217076809</v>
      </c>
      <c r="V333" s="14">
        <f t="shared" ca="1" si="64"/>
        <v>46281620.265689202</v>
      </c>
      <c r="W333" s="8">
        <f t="shared" ca="1" si="65"/>
        <v>20446505.815426622</v>
      </c>
    </row>
    <row r="334" spans="1:23" x14ac:dyDescent="0.2">
      <c r="A334" s="6">
        <f t="shared" ca="1" si="69"/>
        <v>55732</v>
      </c>
      <c r="B334" s="12">
        <f t="shared" ca="1" si="70"/>
        <v>8</v>
      </c>
      <c r="C334" s="7">
        <f ca="1">(YEAR(A334)-YEAR('ÖNYP kalkulátor'!$C$10))+(MONTH(CF!A334)-MONTH('ÖNYP kalkulátor'!$C$10)-1)/12</f>
        <v>71.166666666666671</v>
      </c>
      <c r="D334" s="4">
        <f ca="1">(1+VLOOKUP(YEAR(A334),'ÖNYP kalkulátor'!$E$15:$F$75,2,FALSE))^(1/12)-1</f>
        <v>2.4662697723036864E-3</v>
      </c>
      <c r="E334" s="4">
        <f t="shared" ca="1" si="61"/>
        <v>2.2691291923218837</v>
      </c>
      <c r="F334" s="8">
        <f t="shared" ca="1" si="62"/>
        <v>46281620.265689202</v>
      </c>
      <c r="G334" s="8">
        <v>10000</v>
      </c>
      <c r="H334" s="8">
        <v>250000</v>
      </c>
      <c r="I334" s="8">
        <v>500000</v>
      </c>
      <c r="J334" s="8">
        <v>750000</v>
      </c>
      <c r="K334" s="8"/>
      <c r="L334" s="4">
        <f ca="1">+IF('ÖNYP kalkulátor'!$C$16="nem",0,
IF(MONTH(A334)=1,VLOOKUP(YEAR(A334),'ÖNYP kalkulátor'!$E$15:$J$75,4),0))</f>
        <v>0</v>
      </c>
      <c r="M334" s="8">
        <f t="shared" ca="1" si="71"/>
        <v>68637.830272117877</v>
      </c>
      <c r="N334" s="8">
        <f t="shared" ca="1" si="72"/>
        <v>22879.276757372634</v>
      </c>
      <c r="O334" s="8">
        <f t="shared" ca="1" si="66"/>
        <v>732136.85623592418</v>
      </c>
      <c r="P334" s="8">
        <f t="shared" ca="1" si="67"/>
        <v>699594.11911120568</v>
      </c>
      <c r="Q334" s="8">
        <f t="shared" ca="1" si="68"/>
        <v>89686.764888900681</v>
      </c>
      <c r="R334" s="13">
        <v>150000</v>
      </c>
      <c r="S334" s="13">
        <f ca="1">MIN(IF(AND(MONTH(A334)=5,'ÖNYP kalkulátor'!$IU$6="igen"),(M334+N334)*12/(1+IF('ÖNYP kalkulátor'!$C$16="nem",0,VLOOKUP(YEAR(A334),'ÖNYP kalkulátor'!$E$15:$J$75,4)))*0.2,0),R334)</f>
        <v>0</v>
      </c>
      <c r="T334" s="4">
        <f ca="1">(1+VLOOKUP(YEAR(A334),'ÖNYP kalkulátor'!$E$15:$F$75,2,FALSE)+VLOOKUP(YEAR(A334),'ÖNYP kalkulátor'!$E$15:$I$75,5,FALSE))^(1/12)-1</f>
        <v>4.0741237836483535E-3</v>
      </c>
      <c r="U334" s="8">
        <f t="shared" ca="1" si="63"/>
        <v>188922.44485213835</v>
      </c>
      <c r="V334" s="14">
        <f t="shared" ca="1" si="64"/>
        <v>46560229.475430235</v>
      </c>
      <c r="W334" s="8">
        <f t="shared" ca="1" si="65"/>
        <v>20518985.711777624</v>
      </c>
    </row>
    <row r="335" spans="1:23" x14ac:dyDescent="0.2">
      <c r="A335" s="6">
        <f t="shared" ca="1" si="69"/>
        <v>55763</v>
      </c>
      <c r="B335" s="12">
        <f t="shared" ca="1" si="70"/>
        <v>9</v>
      </c>
      <c r="C335" s="7">
        <f ca="1">(YEAR(A335)-YEAR('ÖNYP kalkulátor'!$C$10))+(MONTH(CF!A335)-MONTH('ÖNYP kalkulátor'!$C$10)-1)/12</f>
        <v>71.25</v>
      </c>
      <c r="D335" s="4">
        <f ca="1">(1+VLOOKUP(YEAR(A335),'ÖNYP kalkulátor'!$E$15:$F$75,2,FALSE))^(1/12)-1</f>
        <v>2.4662697723036864E-3</v>
      </c>
      <c r="E335" s="4">
        <f t="shared" ca="1" si="61"/>
        <v>2.2747254770583591</v>
      </c>
      <c r="F335" s="8">
        <f t="shared" ca="1" si="62"/>
        <v>46560229.475430235</v>
      </c>
      <c r="G335" s="8">
        <v>10000</v>
      </c>
      <c r="H335" s="8">
        <v>250000</v>
      </c>
      <c r="I335" s="8">
        <v>500000</v>
      </c>
      <c r="J335" s="8">
        <v>750000</v>
      </c>
      <c r="K335" s="8"/>
      <c r="L335" s="4">
        <f ca="1">+IF('ÖNYP kalkulátor'!$C$16="nem",0,
IF(MONTH(A335)=1,VLOOKUP(YEAR(A335),'ÖNYP kalkulátor'!$E$15:$J$75,4),0))</f>
        <v>0</v>
      </c>
      <c r="M335" s="8">
        <f t="shared" ca="1" si="71"/>
        <v>68637.830272117877</v>
      </c>
      <c r="N335" s="8">
        <f t="shared" ca="1" si="72"/>
        <v>22879.276757372634</v>
      </c>
      <c r="O335" s="8">
        <f t="shared" ca="1" si="66"/>
        <v>823653.9632654147</v>
      </c>
      <c r="P335" s="8">
        <f t="shared" ca="1" si="67"/>
        <v>790385.69344908767</v>
      </c>
      <c r="Q335" s="8">
        <f t="shared" ca="1" si="68"/>
        <v>90791.57433788199</v>
      </c>
      <c r="R335" s="13">
        <v>150000</v>
      </c>
      <c r="S335" s="13">
        <f ca="1">MIN(IF(AND(MONTH(A335)=5,'ÖNYP kalkulátor'!$IU$6="igen"),(M335+N335)*12/(1+IF('ÖNYP kalkulátor'!$C$16="nem",0,VLOOKUP(YEAR(A335),'ÖNYP kalkulátor'!$E$15:$J$75,4)))*0.2,0),R335)</f>
        <v>0</v>
      </c>
      <c r="T335" s="4">
        <f ca="1">(1+VLOOKUP(YEAR(A335),'ÖNYP kalkulátor'!$E$15:$F$75,2,FALSE)+VLOOKUP(YEAR(A335),'ÖNYP kalkulátor'!$E$15:$I$75,5,FALSE))^(1/12)-1</f>
        <v>4.0741237836483535E-3</v>
      </c>
      <c r="U335" s="8">
        <f t="shared" ca="1" si="63"/>
        <v>190062.03439034027</v>
      </c>
      <c r="V335" s="14">
        <f t="shared" ca="1" si="64"/>
        <v>46841083.084158458</v>
      </c>
      <c r="W335" s="8">
        <f t="shared" ca="1" si="65"/>
        <v>20591971.89136539</v>
      </c>
    </row>
    <row r="336" spans="1:23" x14ac:dyDescent="0.2">
      <c r="A336" s="6">
        <f t="shared" ca="1" si="69"/>
        <v>55793</v>
      </c>
      <c r="B336" s="12">
        <f t="shared" ca="1" si="70"/>
        <v>10</v>
      </c>
      <c r="C336" s="7">
        <f ca="1">(YEAR(A336)-YEAR('ÖNYP kalkulátor'!$C$10))+(MONTH(CF!A336)-MONTH('ÖNYP kalkulátor'!$C$10)-1)/12</f>
        <v>71.333333333333329</v>
      </c>
      <c r="D336" s="4">
        <f ca="1">(1+VLOOKUP(YEAR(A336),'ÖNYP kalkulátor'!$E$15:$F$75,2,FALSE))^(1/12)-1</f>
        <v>2.4662697723036864E-3</v>
      </c>
      <c r="E336" s="4">
        <f t="shared" ca="1" si="61"/>
        <v>2.2803355637427174</v>
      </c>
      <c r="F336" s="8">
        <f t="shared" ca="1" si="62"/>
        <v>46841083.084158458</v>
      </c>
      <c r="G336" s="8">
        <v>10000</v>
      </c>
      <c r="H336" s="8">
        <v>250000</v>
      </c>
      <c r="I336" s="8">
        <v>500000</v>
      </c>
      <c r="J336" s="8">
        <v>750000</v>
      </c>
      <c r="K336" s="8"/>
      <c r="L336" s="4">
        <f ca="1">+IF('ÖNYP kalkulátor'!$C$16="nem",0,
IF(MONTH(A336)=1,VLOOKUP(YEAR(A336),'ÖNYP kalkulátor'!$E$15:$J$75,4),0))</f>
        <v>0</v>
      </c>
      <c r="M336" s="8">
        <f t="shared" ca="1" si="71"/>
        <v>68637.830272117877</v>
      </c>
      <c r="N336" s="8">
        <f t="shared" ca="1" si="72"/>
        <v>22879.276757372634</v>
      </c>
      <c r="O336" s="8">
        <f t="shared" ca="1" si="66"/>
        <v>915171.07029490522</v>
      </c>
      <c r="P336" s="8">
        <f t="shared" ca="1" si="67"/>
        <v>881445.21494343074</v>
      </c>
      <c r="Q336" s="8">
        <f t="shared" ca="1" si="68"/>
        <v>91059.521494343062</v>
      </c>
      <c r="R336" s="13">
        <v>150000</v>
      </c>
      <c r="S336" s="13">
        <f ca="1">MIN(IF(AND(MONTH(A336)=5,'ÖNYP kalkulátor'!$IU$6="igen"),(M336+N336)*12/(1+IF('ÖNYP kalkulátor'!$C$16="nem",0,VLOOKUP(YEAR(A336),'ÖNYP kalkulátor'!$E$15:$J$75,4)))*0.2,0),R336)</f>
        <v>0</v>
      </c>
      <c r="T336" s="4">
        <f ca="1">(1+VLOOKUP(YEAR(A336),'ÖNYP kalkulátor'!$E$15:$F$75,2,FALSE)+VLOOKUP(YEAR(A336),'ÖNYP kalkulátor'!$E$15:$I$75,5,FALSE))^(1/12)-1</f>
        <v>4.0741237836483535E-3</v>
      </c>
      <c r="U336" s="8">
        <f t="shared" ca="1" si="63"/>
        <v>191207.35840726629</v>
      </c>
      <c r="V336" s="14">
        <f t="shared" ca="1" si="64"/>
        <v>47123349.964060068</v>
      </c>
      <c r="W336" s="8">
        <f t="shared" ca="1" si="65"/>
        <v>20665094.520876769</v>
      </c>
    </row>
    <row r="337" spans="1:23" x14ac:dyDescent="0.2">
      <c r="A337" s="6">
        <f t="shared" ca="1" si="69"/>
        <v>55824</v>
      </c>
      <c r="B337" s="12">
        <f t="shared" ca="1" si="70"/>
        <v>11</v>
      </c>
      <c r="C337" s="7">
        <f ca="1">(YEAR(A337)-YEAR('ÖNYP kalkulátor'!$C$10))+(MONTH(CF!A337)-MONTH('ÖNYP kalkulátor'!$C$10)-1)/12</f>
        <v>71.416666666666671</v>
      </c>
      <c r="D337" s="4">
        <f ca="1">(1+VLOOKUP(YEAR(A337),'ÖNYP kalkulátor'!$E$15:$F$75,2,FALSE))^(1/12)-1</f>
        <v>2.4662697723036864E-3</v>
      </c>
      <c r="E337" s="4">
        <f t="shared" ca="1" si="61"/>
        <v>2.2859594864142854</v>
      </c>
      <c r="F337" s="8">
        <f t="shared" ca="1" si="62"/>
        <v>47123349.964060068</v>
      </c>
      <c r="G337" s="8">
        <v>10000</v>
      </c>
      <c r="H337" s="8">
        <v>250000</v>
      </c>
      <c r="I337" s="8">
        <v>500000</v>
      </c>
      <c r="J337" s="8">
        <v>750000</v>
      </c>
      <c r="K337" s="8"/>
      <c r="L337" s="4">
        <f ca="1">+IF('ÖNYP kalkulátor'!$C$16="nem",0,
IF(MONTH(A337)=1,VLOOKUP(YEAR(A337),'ÖNYP kalkulátor'!$E$15:$J$75,4),0))</f>
        <v>0</v>
      </c>
      <c r="M337" s="8">
        <f t="shared" ca="1" si="71"/>
        <v>68637.830272117877</v>
      </c>
      <c r="N337" s="8">
        <f t="shared" ca="1" si="72"/>
        <v>22879.276757372634</v>
      </c>
      <c r="O337" s="8">
        <f t="shared" ca="1" si="66"/>
        <v>1006688.1773243957</v>
      </c>
      <c r="P337" s="8">
        <f t="shared" ca="1" si="67"/>
        <v>972504.7364377738</v>
      </c>
      <c r="Q337" s="8">
        <f t="shared" ca="1" si="68"/>
        <v>91059.521494343062</v>
      </c>
      <c r="R337" s="13">
        <v>150000</v>
      </c>
      <c r="S337" s="13">
        <f ca="1">MIN(IF(AND(MONTH(A337)=5,'ÖNYP kalkulátor'!$IU$6="igen"),(M337+N337)*12/(1+IF('ÖNYP kalkulátor'!$C$16="nem",0,VLOOKUP(YEAR(A337),'ÖNYP kalkulátor'!$E$15:$J$75,4)))*0.2,0),R337)</f>
        <v>0</v>
      </c>
      <c r="T337" s="4">
        <f ca="1">(1+VLOOKUP(YEAR(A337),'ÖNYP kalkulátor'!$E$15:$F$75,2,FALSE)+VLOOKUP(YEAR(A337),'ÖNYP kalkulátor'!$E$15:$I$75,5,FALSE))^(1/12)-1</f>
        <v>4.0741237836483535E-3</v>
      </c>
      <c r="U337" s="8">
        <f t="shared" ca="1" si="63"/>
        <v>192357.34861600967</v>
      </c>
      <c r="V337" s="14">
        <f t="shared" ca="1" si="64"/>
        <v>47406766.834170423</v>
      </c>
      <c r="W337" s="8">
        <f t="shared" ca="1" si="65"/>
        <v>20738235.789354175</v>
      </c>
    </row>
    <row r="338" spans="1:23" x14ac:dyDescent="0.2">
      <c r="A338" s="6">
        <f t="shared" ca="1" si="69"/>
        <v>55854</v>
      </c>
      <c r="B338" s="12">
        <f t="shared" ca="1" si="70"/>
        <v>12</v>
      </c>
      <c r="C338" s="7">
        <f ca="1">(YEAR(A338)-YEAR('ÖNYP kalkulátor'!$C$10))+(MONTH(CF!A338)-MONTH('ÖNYP kalkulátor'!$C$10)-1)/12</f>
        <v>71.5</v>
      </c>
      <c r="D338" s="4">
        <f ca="1">(1+VLOOKUP(YEAR(A338),'ÖNYP kalkulátor'!$E$15:$F$75,2,FALSE))^(1/12)-1</f>
        <v>2.4662697723036864E-3</v>
      </c>
      <c r="E338" s="4">
        <f t="shared" ca="1" si="61"/>
        <v>2.2915972791963397</v>
      </c>
      <c r="F338" s="8">
        <f t="shared" ca="1" si="62"/>
        <v>47406766.834170423</v>
      </c>
      <c r="G338" s="8">
        <v>10000</v>
      </c>
      <c r="H338" s="8">
        <v>250000</v>
      </c>
      <c r="I338" s="8">
        <v>500000</v>
      </c>
      <c r="J338" s="8">
        <v>750000</v>
      </c>
      <c r="K338" s="8"/>
      <c r="L338" s="4">
        <f ca="1">+IF('ÖNYP kalkulátor'!$C$16="nem",0,
IF(MONTH(A338)=1,VLOOKUP(YEAR(A338),'ÖNYP kalkulátor'!$E$15:$J$75,4),0))</f>
        <v>0</v>
      </c>
      <c r="M338" s="8">
        <f t="shared" ca="1" si="71"/>
        <v>68637.830272117877</v>
      </c>
      <c r="N338" s="8">
        <f t="shared" ca="1" si="72"/>
        <v>22879.276757372634</v>
      </c>
      <c r="O338" s="8">
        <f t="shared" ca="1" si="66"/>
        <v>1098205.2843538863</v>
      </c>
      <c r="P338" s="8">
        <f t="shared" ca="1" si="67"/>
        <v>1063564.2579321167</v>
      </c>
      <c r="Q338" s="8">
        <f t="shared" ca="1" si="68"/>
        <v>91059.521494342946</v>
      </c>
      <c r="R338" s="13">
        <v>150000</v>
      </c>
      <c r="S338" s="13">
        <f ca="1">MIN(IF(AND(MONTH(A338)=5,'ÖNYP kalkulátor'!$IU$6="igen"),(M338+N338)*12/(1+IF('ÖNYP kalkulátor'!$C$16="nem",0,VLOOKUP(YEAR(A338),'ÖNYP kalkulátor'!$E$15:$J$75,4)))*0.2,0),R338)</f>
        <v>0</v>
      </c>
      <c r="T338" s="4">
        <f ca="1">(1+VLOOKUP(YEAR(A338),'ÖNYP kalkulátor'!$E$15:$F$75,2,FALSE)+VLOOKUP(YEAR(A338),'ÖNYP kalkulátor'!$E$15:$I$75,5,FALSE))^(1/12)-1</f>
        <v>4.0741237836483535E-3</v>
      </c>
      <c r="U338" s="8">
        <f t="shared" ca="1" si="63"/>
        <v>193512.02402721343</v>
      </c>
      <c r="V338" s="14">
        <f t="shared" ca="1" si="64"/>
        <v>47691338.379691981</v>
      </c>
      <c r="W338" s="8">
        <f t="shared" ca="1" si="65"/>
        <v>20811395.969372626</v>
      </c>
    </row>
    <row r="339" spans="1:23" x14ac:dyDescent="0.2">
      <c r="A339" s="6">
        <f t="shared" ca="1" si="69"/>
        <v>55885</v>
      </c>
      <c r="B339" s="12">
        <f t="shared" ca="1" si="70"/>
        <v>1</v>
      </c>
      <c r="C339" s="7">
        <f ca="1">(YEAR(A339)-YEAR('ÖNYP kalkulátor'!$C$10))+(MONTH(CF!A339)-MONTH('ÖNYP kalkulátor'!$C$10)-1)/12</f>
        <v>71.583333333333329</v>
      </c>
      <c r="D339" s="4">
        <f ca="1">(1+VLOOKUP(YEAR(A339),'ÖNYP kalkulátor'!$E$15:$F$75,2,FALSE))^(1/12)-1</f>
        <v>2.4662697723036864E-3</v>
      </c>
      <c r="E339" s="4">
        <f t="shared" ca="1" si="61"/>
        <v>2.2972489762963151</v>
      </c>
      <c r="F339" s="8">
        <f t="shared" ca="1" si="62"/>
        <v>47691338.379691981</v>
      </c>
      <c r="G339" s="8">
        <v>10000</v>
      </c>
      <c r="H339" s="8">
        <v>250000</v>
      </c>
      <c r="I339" s="8">
        <v>500000</v>
      </c>
      <c r="J339" s="8">
        <v>750000</v>
      </c>
      <c r="K339" s="8"/>
      <c r="L339" s="4">
        <f ca="1">+IF('ÖNYP kalkulátor'!$C$16="nem",0,
IF(MONTH(A339)=1,VLOOKUP(YEAR(A339),'ÖNYP kalkulátor'!$E$15:$J$75,4),0))</f>
        <v>0.03</v>
      </c>
      <c r="M339" s="8">
        <f t="shared" ca="1" si="71"/>
        <v>70696.965180281419</v>
      </c>
      <c r="N339" s="8">
        <f t="shared" ca="1" si="72"/>
        <v>23565.655060093814</v>
      </c>
      <c r="O339" s="8">
        <f t="shared" ca="1" si="66"/>
        <v>94262.620240375225</v>
      </c>
      <c r="P339" s="8">
        <f t="shared" ca="1" si="67"/>
        <v>88206.863025952713</v>
      </c>
      <c r="Q339" s="8">
        <f t="shared" ca="1" si="68"/>
        <v>88206.863025952713</v>
      </c>
      <c r="R339" s="13">
        <v>150000</v>
      </c>
      <c r="S339" s="13">
        <f ca="1">MIN(IF(AND(MONTH(A339)=5,'ÖNYP kalkulátor'!$IU$6="igen"),(M339+N339)*12/(1+IF('ÖNYP kalkulátor'!$C$16="nem",0,VLOOKUP(YEAR(A339),'ÖNYP kalkulátor'!$E$15:$J$75,4)))*0.2,0),R339)</f>
        <v>0</v>
      </c>
      <c r="T339" s="4">
        <f ca="1">(1+VLOOKUP(YEAR(A339),'ÖNYP kalkulátor'!$E$15:$F$75,2,FALSE)+VLOOKUP(YEAR(A339),'ÖNYP kalkulátor'!$E$15:$I$75,5,FALSE))^(1/12)-1</f>
        <v>4.0741237836483535E-3</v>
      </c>
      <c r="U339" s="8">
        <f t="shared" ca="1" si="63"/>
        <v>194659.78164525967</v>
      </c>
      <c r="V339" s="14">
        <f t="shared" ca="1" si="64"/>
        <v>47974205.024363197</v>
      </c>
      <c r="W339" s="8">
        <f t="shared" ca="1" si="65"/>
        <v>20883328.502646007</v>
      </c>
    </row>
    <row r="340" spans="1:23" x14ac:dyDescent="0.2">
      <c r="A340" s="6">
        <f t="shared" ca="1" si="69"/>
        <v>55916</v>
      </c>
      <c r="B340" s="12">
        <f t="shared" ca="1" si="70"/>
        <v>2</v>
      </c>
      <c r="C340" s="7">
        <f ca="1">(YEAR(A340)-YEAR('ÖNYP kalkulátor'!$C$10))+(MONTH(CF!A340)-MONTH('ÖNYP kalkulátor'!$C$10)-1)/12</f>
        <v>71.666666666666671</v>
      </c>
      <c r="D340" s="4">
        <f ca="1">(1+VLOOKUP(YEAR(A340),'ÖNYP kalkulátor'!$E$15:$F$75,2,FALSE))^(1/12)-1</f>
        <v>2.4662697723036864E-3</v>
      </c>
      <c r="E340" s="4">
        <f t="shared" ca="1" si="61"/>
        <v>2.3029146120060102</v>
      </c>
      <c r="F340" s="8">
        <f t="shared" ca="1" si="62"/>
        <v>47974205.024363197</v>
      </c>
      <c r="G340" s="8">
        <v>10000</v>
      </c>
      <c r="H340" s="8">
        <v>250000</v>
      </c>
      <c r="I340" s="8">
        <v>500000</v>
      </c>
      <c r="J340" s="8">
        <v>750000</v>
      </c>
      <c r="K340" s="8"/>
      <c r="L340" s="4">
        <f ca="1">+IF('ÖNYP kalkulátor'!$C$16="nem",0,
IF(MONTH(A340)=1,VLOOKUP(YEAR(A340),'ÖNYP kalkulátor'!$E$15:$J$75,4),0))</f>
        <v>0</v>
      </c>
      <c r="M340" s="8">
        <f t="shared" ca="1" si="71"/>
        <v>70696.965180281419</v>
      </c>
      <c r="N340" s="8">
        <f t="shared" ca="1" si="72"/>
        <v>23565.655060093814</v>
      </c>
      <c r="O340" s="8">
        <f t="shared" ca="1" si="66"/>
        <v>188525.24048075048</v>
      </c>
      <c r="P340" s="8">
        <f t="shared" ca="1" si="67"/>
        <v>176813.72605190545</v>
      </c>
      <c r="Q340" s="8">
        <f t="shared" ca="1" si="68"/>
        <v>88606.863025952742</v>
      </c>
      <c r="R340" s="13">
        <v>150000</v>
      </c>
      <c r="S340" s="13">
        <f ca="1">MIN(IF(AND(MONTH(A340)=5,'ÖNYP kalkulátor'!$IU$6="igen"),(M340+N340)*12/(1+IF('ÖNYP kalkulátor'!$C$16="nem",0,VLOOKUP(YEAR(A340),'ÖNYP kalkulátor'!$E$15:$J$75,4)))*0.2,0),R340)</f>
        <v>0</v>
      </c>
      <c r="T340" s="4">
        <f ca="1">(1+VLOOKUP(YEAR(A340),'ÖNYP kalkulátor'!$E$15:$F$75,2,FALSE)+VLOOKUP(YEAR(A340),'ÖNYP kalkulátor'!$E$15:$I$75,5,FALSE))^(1/12)-1</f>
        <v>4.0741237836483535E-3</v>
      </c>
      <c r="U340" s="8">
        <f t="shared" ca="1" si="63"/>
        <v>195813.84501942896</v>
      </c>
      <c r="V340" s="14">
        <f t="shared" ca="1" si="64"/>
        <v>48258625.732408583</v>
      </c>
      <c r="W340" s="8">
        <f t="shared" ca="1" si="65"/>
        <v>20955455.960380454</v>
      </c>
    </row>
    <row r="341" spans="1:23" x14ac:dyDescent="0.2">
      <c r="A341" s="6">
        <f t="shared" ca="1" si="69"/>
        <v>55944</v>
      </c>
      <c r="B341" s="12">
        <f t="shared" ca="1" si="70"/>
        <v>3</v>
      </c>
      <c r="C341" s="7">
        <f ca="1">(YEAR(A341)-YEAR('ÖNYP kalkulátor'!$C$10))+(MONTH(CF!A341)-MONTH('ÖNYP kalkulátor'!$C$10)-1)/12</f>
        <v>71.75</v>
      </c>
      <c r="D341" s="4">
        <f ca="1">(1+VLOOKUP(YEAR(A341),'ÖNYP kalkulátor'!$E$15:$F$75,2,FALSE))^(1/12)-1</f>
        <v>2.4662697723036864E-3</v>
      </c>
      <c r="E341" s="4">
        <f t="shared" ca="1" si="61"/>
        <v>2.3085942207017971</v>
      </c>
      <c r="F341" s="8">
        <f t="shared" ca="1" si="62"/>
        <v>48258625.732408583</v>
      </c>
      <c r="G341" s="8">
        <v>10000</v>
      </c>
      <c r="H341" s="8">
        <v>250000</v>
      </c>
      <c r="I341" s="8">
        <v>500000</v>
      </c>
      <c r="J341" s="8">
        <v>750000</v>
      </c>
      <c r="K341" s="8"/>
      <c r="L341" s="4">
        <f ca="1">+IF('ÖNYP kalkulátor'!$C$16="nem",0,
IF(MONTH(A341)=1,VLOOKUP(YEAR(A341),'ÖNYP kalkulátor'!$E$15:$J$75,4),0))</f>
        <v>0</v>
      </c>
      <c r="M341" s="8">
        <f t="shared" ca="1" si="71"/>
        <v>70696.965180281419</v>
      </c>
      <c r="N341" s="8">
        <f t="shared" ca="1" si="72"/>
        <v>23565.655060093814</v>
      </c>
      <c r="O341" s="8">
        <f t="shared" ca="1" si="66"/>
        <v>282787.86072112567</v>
      </c>
      <c r="P341" s="8">
        <f t="shared" ca="1" si="67"/>
        <v>265748.46768506936</v>
      </c>
      <c r="Q341" s="8">
        <f t="shared" ca="1" si="68"/>
        <v>88934.741633163911</v>
      </c>
      <c r="R341" s="13">
        <v>150000</v>
      </c>
      <c r="S341" s="13">
        <f ca="1">MIN(IF(AND(MONTH(A341)=5,'ÖNYP kalkulátor'!$IU$6="igen"),(M341+N341)*12/(1+IF('ÖNYP kalkulátor'!$C$16="nem",0,VLOOKUP(YEAR(A341),'ÖNYP kalkulátor'!$E$15:$J$75,4)))*0.2,0),R341)</f>
        <v>0</v>
      </c>
      <c r="T341" s="4">
        <f ca="1">(1+VLOOKUP(YEAR(A341),'ÖNYP kalkulátor'!$E$15:$F$75,2,FALSE)+VLOOKUP(YEAR(A341),'ÖNYP kalkulátor'!$E$15:$I$75,5,FALSE))^(1/12)-1</f>
        <v>4.0741237836483535E-3</v>
      </c>
      <c r="U341" s="8">
        <f t="shared" ca="1" si="63"/>
        <v>196973.94600867055</v>
      </c>
      <c r="V341" s="14">
        <f t="shared" ca="1" si="64"/>
        <v>48544534.420050412</v>
      </c>
      <c r="W341" s="8">
        <f t="shared" ca="1" si="65"/>
        <v>21027746.662769172</v>
      </c>
    </row>
    <row r="342" spans="1:23" x14ac:dyDescent="0.2">
      <c r="A342" s="6">
        <f t="shared" ca="1" si="69"/>
        <v>55975</v>
      </c>
      <c r="B342" s="12">
        <f t="shared" ca="1" si="70"/>
        <v>4</v>
      </c>
      <c r="C342" s="7">
        <f ca="1">(YEAR(A342)-YEAR('ÖNYP kalkulátor'!$C$10))+(MONTH(CF!A342)-MONTH('ÖNYP kalkulátor'!$C$10)-1)/12</f>
        <v>71.833333333333329</v>
      </c>
      <c r="D342" s="4">
        <f ca="1">(1+VLOOKUP(YEAR(A342),'ÖNYP kalkulátor'!$E$15:$F$75,2,FALSE))^(1/12)-1</f>
        <v>2.4662697723036864E-3</v>
      </c>
      <c r="E342" s="4">
        <f t="shared" ca="1" si="61"/>
        <v>2.3142878368448287</v>
      </c>
      <c r="F342" s="8">
        <f t="shared" ca="1" si="62"/>
        <v>48544534.420050412</v>
      </c>
      <c r="G342" s="8">
        <v>10000</v>
      </c>
      <c r="H342" s="8">
        <v>250000</v>
      </c>
      <c r="I342" s="8">
        <v>500000</v>
      </c>
      <c r="J342" s="8">
        <v>750000</v>
      </c>
      <c r="K342" s="8"/>
      <c r="L342" s="4">
        <f ca="1">+IF('ÖNYP kalkulátor'!$C$16="nem",0,
IF(MONTH(A342)=1,VLOOKUP(YEAR(A342),'ÖNYP kalkulátor'!$E$15:$J$75,4),0))</f>
        <v>0</v>
      </c>
      <c r="M342" s="8">
        <f t="shared" ca="1" si="71"/>
        <v>70696.965180281419</v>
      </c>
      <c r="N342" s="8">
        <f t="shared" ca="1" si="72"/>
        <v>23565.655060093814</v>
      </c>
      <c r="O342" s="8">
        <f t="shared" ca="1" si="66"/>
        <v>377050.4809615009</v>
      </c>
      <c r="P342" s="8">
        <f t="shared" ca="1" si="67"/>
        <v>355297.95691342582</v>
      </c>
      <c r="Q342" s="8">
        <f t="shared" ca="1" si="68"/>
        <v>89549.489228356455</v>
      </c>
      <c r="R342" s="13">
        <v>150000</v>
      </c>
      <c r="S342" s="13">
        <f ca="1">MIN(IF(AND(MONTH(A342)=5,'ÖNYP kalkulátor'!$IU$6="igen"),(M342+N342)*12/(1+IF('ÖNYP kalkulátor'!$C$16="nem",0,VLOOKUP(YEAR(A342),'ÖNYP kalkulátor'!$E$15:$J$75,4)))*0.2,0),R342)</f>
        <v>0</v>
      </c>
      <c r="T342" s="4">
        <f ca="1">(1+VLOOKUP(YEAR(A342),'ÖNYP kalkulátor'!$E$15:$F$75,2,FALSE)+VLOOKUP(YEAR(A342),'ÖNYP kalkulátor'!$E$15:$I$75,5,FALSE))^(1/12)-1</f>
        <v>4.0741237836483535E-3</v>
      </c>
      <c r="U342" s="8">
        <f t="shared" ca="1" si="63"/>
        <v>198141.27795074231</v>
      </c>
      <c r="V342" s="14">
        <f t="shared" ca="1" si="64"/>
        <v>48832225.187229507</v>
      </c>
      <c r="W342" s="8">
        <f t="shared" ca="1" si="65"/>
        <v>21100324.864432007</v>
      </c>
    </row>
    <row r="343" spans="1:23" x14ac:dyDescent="0.2">
      <c r="A343" s="6">
        <f t="shared" ca="1" si="69"/>
        <v>56005</v>
      </c>
      <c r="B343" s="12">
        <f t="shared" ca="1" si="70"/>
        <v>5</v>
      </c>
      <c r="C343" s="7">
        <f ca="1">(YEAR(A343)-YEAR('ÖNYP kalkulátor'!$C$10))+(MONTH(CF!A343)-MONTH('ÖNYP kalkulátor'!$C$10)-1)/12</f>
        <v>71.916666666666671</v>
      </c>
      <c r="D343" s="4">
        <f ca="1">(1+VLOOKUP(YEAR(A343),'ÖNYP kalkulátor'!$E$15:$F$75,2,FALSE))^(1/12)-1</f>
        <v>2.4662697723036864E-3</v>
      </c>
      <c r="E343" s="4">
        <f t="shared" ca="1" si="61"/>
        <v>2.3199954949812494</v>
      </c>
      <c r="F343" s="8">
        <f t="shared" ca="1" si="62"/>
        <v>48832225.187229507</v>
      </c>
      <c r="G343" s="8">
        <v>10000</v>
      </c>
      <c r="H343" s="8">
        <v>250000</v>
      </c>
      <c r="I343" s="8">
        <v>500000</v>
      </c>
      <c r="J343" s="8">
        <v>750000</v>
      </c>
      <c r="K343" s="8"/>
      <c r="L343" s="4">
        <f ca="1">+IF('ÖNYP kalkulátor'!$C$16="nem",0,
IF(MONTH(A343)=1,VLOOKUP(YEAR(A343),'ÖNYP kalkulátor'!$E$15:$J$75,4),0))</f>
        <v>0</v>
      </c>
      <c r="M343" s="8">
        <f t="shared" ca="1" si="71"/>
        <v>70696.965180281419</v>
      </c>
      <c r="N343" s="8">
        <f t="shared" ca="1" si="72"/>
        <v>23565.655060093814</v>
      </c>
      <c r="O343" s="8">
        <f t="shared" ca="1" si="66"/>
        <v>471313.10120187612</v>
      </c>
      <c r="P343" s="8">
        <f t="shared" ca="1" si="67"/>
        <v>444847.44614178233</v>
      </c>
      <c r="Q343" s="8">
        <f t="shared" ca="1" si="68"/>
        <v>89549.489228356513</v>
      </c>
      <c r="R343" s="13">
        <v>150000</v>
      </c>
      <c r="S343" s="13">
        <f ca="1">MIN(IF(AND(MONTH(A343)=5,'ÖNYP kalkulátor'!$IU$6="igen"),(M343+N343)*12/(1+IF('ÖNYP kalkulátor'!$C$16="nem",0,VLOOKUP(YEAR(A343),'ÖNYP kalkulátor'!$E$15:$J$75,4)))*0.2,0),R343)</f>
        <v>150000</v>
      </c>
      <c r="T343" s="4">
        <f ca="1">(1+VLOOKUP(YEAR(A343),'ÖNYP kalkulátor'!$E$15:$F$75,2,FALSE)+VLOOKUP(YEAR(A343),'ÖNYP kalkulátor'!$E$15:$I$75,5,FALSE))^(1/12)-1</f>
        <v>4.0741237836483535E-3</v>
      </c>
      <c r="U343" s="8">
        <f t="shared" ca="1" si="63"/>
        <v>199924.48431518994</v>
      </c>
      <c r="V343" s="14">
        <f t="shared" ca="1" si="64"/>
        <v>49271699.160773046</v>
      </c>
      <c r="W343" s="8">
        <f t="shared" ca="1" si="65"/>
        <v>21237842.602436289</v>
      </c>
    </row>
    <row r="344" spans="1:23" x14ac:dyDescent="0.2">
      <c r="A344" s="6">
        <f t="shared" ca="1" si="69"/>
        <v>56036</v>
      </c>
      <c r="B344" s="12">
        <f t="shared" ca="1" si="70"/>
        <v>6</v>
      </c>
      <c r="C344" s="7">
        <f ca="1">(YEAR(A344)-YEAR('ÖNYP kalkulátor'!$C$10))+(MONTH(CF!A344)-MONTH('ÖNYP kalkulátor'!$C$10)-1)/12</f>
        <v>72</v>
      </c>
      <c r="D344" s="4">
        <f ca="1">(1+VLOOKUP(YEAR(A344),'ÖNYP kalkulátor'!$E$15:$F$75,2,FALSE))^(1/12)-1</f>
        <v>2.4662697723036864E-3</v>
      </c>
      <c r="E344" s="4">
        <f t="shared" ca="1" si="61"/>
        <v>2.3257172297424025</v>
      </c>
      <c r="F344" s="8">
        <f t="shared" ca="1" si="62"/>
        <v>49271699.160773046</v>
      </c>
      <c r="G344" s="8">
        <v>10000</v>
      </c>
      <c r="H344" s="8">
        <v>250000</v>
      </c>
      <c r="I344" s="8">
        <v>500000</v>
      </c>
      <c r="J344" s="8">
        <v>750000</v>
      </c>
      <c r="K344" s="8"/>
      <c r="L344" s="4">
        <f ca="1">+IF('ÖNYP kalkulátor'!$C$16="nem",0,
IF(MONTH(A344)=1,VLOOKUP(YEAR(A344),'ÖNYP kalkulátor'!$E$15:$J$75,4),0))</f>
        <v>0</v>
      </c>
      <c r="M344" s="8">
        <f t="shared" ca="1" si="71"/>
        <v>70696.965180281419</v>
      </c>
      <c r="N344" s="8">
        <f t="shared" ca="1" si="72"/>
        <v>23565.655060093814</v>
      </c>
      <c r="O344" s="8">
        <f t="shared" ca="1" si="66"/>
        <v>565575.72144225135</v>
      </c>
      <c r="P344" s="8">
        <f t="shared" ca="1" si="67"/>
        <v>536364.20701340633</v>
      </c>
      <c r="Q344" s="8">
        <f t="shared" ca="1" si="68"/>
        <v>91516.760871623992</v>
      </c>
      <c r="R344" s="13">
        <v>150000</v>
      </c>
      <c r="S344" s="13">
        <f ca="1">MIN(IF(AND(MONTH(A344)=5,'ÖNYP kalkulátor'!$IU$6="igen"),(M344+N344)*12/(1+IF('ÖNYP kalkulátor'!$C$16="nem",0,VLOOKUP(YEAR(A344),'ÖNYP kalkulátor'!$E$15:$J$75,4)))*0.2,0),R344)</f>
        <v>0</v>
      </c>
      <c r="T344" s="4">
        <f ca="1">(1+VLOOKUP(YEAR(A344),'ÖNYP kalkulátor'!$E$15:$F$75,2,FALSE)+VLOOKUP(YEAR(A344),'ÖNYP kalkulátor'!$E$15:$I$75,5,FALSE))^(1/12)-1</f>
        <v>4.0741237836483535E-3</v>
      </c>
      <c r="U344" s="8">
        <f t="shared" ca="1" si="63"/>
        <v>201111.85202374164</v>
      </c>
      <c r="V344" s="14">
        <f t="shared" ca="1" si="64"/>
        <v>49564327.773668416</v>
      </c>
      <c r="W344" s="8">
        <f t="shared" ca="1" si="65"/>
        <v>21311416.168662164</v>
      </c>
    </row>
    <row r="345" spans="1:23" x14ac:dyDescent="0.2">
      <c r="A345" s="6">
        <f t="shared" ca="1" si="69"/>
        <v>56066</v>
      </c>
      <c r="B345" s="12">
        <f t="shared" ca="1" si="70"/>
        <v>7</v>
      </c>
      <c r="C345" s="7">
        <f ca="1">(YEAR(A345)-YEAR('ÖNYP kalkulátor'!$C$10))+(MONTH(CF!A345)-MONTH('ÖNYP kalkulátor'!$C$10)-1)/12</f>
        <v>72.083333333333329</v>
      </c>
      <c r="D345" s="4">
        <f ca="1">(1+VLOOKUP(YEAR(A345),'ÖNYP kalkulátor'!$E$15:$F$75,2,FALSE))^(1/12)-1</f>
        <v>2.4662697723036864E-3</v>
      </c>
      <c r="E345" s="4">
        <f t="shared" ca="1" si="61"/>
        <v>2.331453075845042</v>
      </c>
      <c r="F345" s="8">
        <f t="shared" ca="1" si="62"/>
        <v>49564327.773668416</v>
      </c>
      <c r="G345" s="8">
        <v>10000</v>
      </c>
      <c r="H345" s="8">
        <v>250000</v>
      </c>
      <c r="I345" s="8">
        <v>500000</v>
      </c>
      <c r="J345" s="8">
        <v>750000</v>
      </c>
      <c r="K345" s="8"/>
      <c r="L345" s="4">
        <f ca="1">+IF('ÖNYP kalkulátor'!$C$16="nem",0,
IF(MONTH(A345)=1,VLOOKUP(YEAR(A345),'ÖNYP kalkulátor'!$E$15:$J$75,4),0))</f>
        <v>0</v>
      </c>
      <c r="M345" s="8">
        <f t="shared" ca="1" si="71"/>
        <v>70696.965180281419</v>
      </c>
      <c r="N345" s="8">
        <f t="shared" ca="1" si="72"/>
        <v>23565.655060093814</v>
      </c>
      <c r="O345" s="8">
        <f t="shared" ca="1" si="66"/>
        <v>659838.34168262663</v>
      </c>
      <c r="P345" s="8">
        <f t="shared" ca="1" si="67"/>
        <v>628741.57484897412</v>
      </c>
      <c r="Q345" s="8">
        <f t="shared" ca="1" si="68"/>
        <v>92377.367835567798</v>
      </c>
      <c r="R345" s="13">
        <v>150000</v>
      </c>
      <c r="S345" s="13">
        <f ca="1">MIN(IF(AND(MONTH(A345)=5,'ÖNYP kalkulátor'!$IU$6="igen"),(M345+N345)*12/(1+IF('ÖNYP kalkulátor'!$C$16="nem",0,VLOOKUP(YEAR(A345),'ÖNYP kalkulátor'!$E$15:$J$75,4)))*0.2,0),R345)</f>
        <v>0</v>
      </c>
      <c r="T345" s="4">
        <f ca="1">(1+VLOOKUP(YEAR(A345),'ÖNYP kalkulátor'!$E$15:$F$75,2,FALSE)+VLOOKUP(YEAR(A345),'ÖNYP kalkulátor'!$E$15:$I$75,5,FALSE))^(1/12)-1</f>
        <v>4.0741237836483535E-3</v>
      </c>
      <c r="U345" s="8">
        <f t="shared" ca="1" si="63"/>
        <v>202307.56343461486</v>
      </c>
      <c r="V345" s="14">
        <f t="shared" ca="1" si="64"/>
        <v>49859012.704938598</v>
      </c>
      <c r="W345" s="8">
        <f t="shared" ca="1" si="65"/>
        <v>21385381.169152226</v>
      </c>
    </row>
    <row r="346" spans="1:23" x14ac:dyDescent="0.2">
      <c r="A346" s="6">
        <f t="shared" ca="1" si="69"/>
        <v>56097</v>
      </c>
      <c r="B346" s="12">
        <f t="shared" ca="1" si="70"/>
        <v>8</v>
      </c>
      <c r="C346" s="7">
        <f ca="1">(YEAR(A346)-YEAR('ÖNYP kalkulátor'!$C$10))+(MONTH(CF!A346)-MONTH('ÖNYP kalkulátor'!$C$10)-1)/12</f>
        <v>72.166666666666671</v>
      </c>
      <c r="D346" s="4">
        <f ca="1">(1+VLOOKUP(YEAR(A346),'ÖNYP kalkulátor'!$E$15:$F$75,2,FALSE))^(1/12)-1</f>
        <v>2.4662697723036864E-3</v>
      </c>
      <c r="E346" s="4">
        <f t="shared" ca="1" si="61"/>
        <v>2.3372030680915432</v>
      </c>
      <c r="F346" s="8">
        <f t="shared" ca="1" si="62"/>
        <v>49859012.704938598</v>
      </c>
      <c r="G346" s="8">
        <v>10000</v>
      </c>
      <c r="H346" s="8">
        <v>250000</v>
      </c>
      <c r="I346" s="8">
        <v>500000</v>
      </c>
      <c r="J346" s="8">
        <v>750000</v>
      </c>
      <c r="K346" s="8"/>
      <c r="L346" s="4">
        <f ca="1">+IF('ÖNYP kalkulátor'!$C$16="nem",0,
IF(MONTH(A346)=1,VLOOKUP(YEAR(A346),'ÖNYP kalkulátor'!$E$15:$J$75,4),0))</f>
        <v>0</v>
      </c>
      <c r="M346" s="8">
        <f t="shared" ca="1" si="71"/>
        <v>70696.965180281419</v>
      </c>
      <c r="N346" s="8">
        <f t="shared" ca="1" si="72"/>
        <v>23565.655060093814</v>
      </c>
      <c r="O346" s="8">
        <f t="shared" ca="1" si="66"/>
        <v>754100.96192300192</v>
      </c>
      <c r="P346" s="8">
        <f t="shared" ca="1" si="67"/>
        <v>721180.45711338695</v>
      </c>
      <c r="Q346" s="8">
        <f t="shared" ca="1" si="68"/>
        <v>92438.882264412823</v>
      </c>
      <c r="R346" s="13">
        <v>150000</v>
      </c>
      <c r="S346" s="13">
        <f ca="1">MIN(IF(AND(MONTH(A346)=5,'ÖNYP kalkulátor'!$IU$6="igen"),(M346+N346)*12/(1+IF('ÖNYP kalkulátor'!$C$16="nem",0,VLOOKUP(YEAR(A346),'ÖNYP kalkulátor'!$E$15:$J$75,4)))*0.2,0),R346)</f>
        <v>0</v>
      </c>
      <c r="T346" s="4">
        <f ca="1">(1+VLOOKUP(YEAR(A346),'ÖNYP kalkulátor'!$E$15:$F$75,2,FALSE)+VLOOKUP(YEAR(A346),'ÖNYP kalkulátor'!$E$15:$I$75,5,FALSE))^(1/12)-1</f>
        <v>4.0741237836483535E-3</v>
      </c>
      <c r="U346" s="8">
        <f t="shared" ca="1" si="63"/>
        <v>203508.39693918309</v>
      </c>
      <c r="V346" s="14">
        <f t="shared" ca="1" si="64"/>
        <v>50154959.984142192</v>
      </c>
      <c r="W346" s="8">
        <f t="shared" ca="1" si="65"/>
        <v>21459393.353054475</v>
      </c>
    </row>
    <row r="347" spans="1:23" x14ac:dyDescent="0.2">
      <c r="A347" s="6">
        <f t="shared" ca="1" si="69"/>
        <v>56128</v>
      </c>
      <c r="B347" s="12">
        <f t="shared" ca="1" si="70"/>
        <v>9</v>
      </c>
      <c r="C347" s="7">
        <f ca="1">(YEAR(A347)-YEAR('ÖNYP kalkulátor'!$C$10))+(MONTH(CF!A347)-MONTH('ÖNYP kalkulátor'!$C$10)-1)/12</f>
        <v>72.25</v>
      </c>
      <c r="D347" s="4">
        <f ca="1">(1+VLOOKUP(YEAR(A347),'ÖNYP kalkulátor'!$E$15:$F$75,2,FALSE))^(1/12)-1</f>
        <v>2.4662697723036864E-3</v>
      </c>
      <c r="E347" s="4">
        <f t="shared" ca="1" si="61"/>
        <v>2.342967241370113</v>
      </c>
      <c r="F347" s="8">
        <f t="shared" ca="1" si="62"/>
        <v>50154959.984142192</v>
      </c>
      <c r="G347" s="8">
        <v>10000</v>
      </c>
      <c r="H347" s="8">
        <v>250000</v>
      </c>
      <c r="I347" s="8">
        <v>500000</v>
      </c>
      <c r="J347" s="8">
        <v>750000</v>
      </c>
      <c r="K347" s="8"/>
      <c r="L347" s="4">
        <f ca="1">+IF('ÖNYP kalkulátor'!$C$16="nem",0,
IF(MONTH(A347)=1,VLOOKUP(YEAR(A347),'ÖNYP kalkulátor'!$E$15:$J$75,4),0))</f>
        <v>0</v>
      </c>
      <c r="M347" s="8">
        <f t="shared" ca="1" si="71"/>
        <v>70696.965180281419</v>
      </c>
      <c r="N347" s="8">
        <f t="shared" ca="1" si="72"/>
        <v>23565.655060093814</v>
      </c>
      <c r="O347" s="8">
        <f t="shared" ca="1" si="66"/>
        <v>848363.5821633772</v>
      </c>
      <c r="P347" s="8">
        <f t="shared" ca="1" si="67"/>
        <v>814971.76425256033</v>
      </c>
      <c r="Q347" s="8">
        <f t="shared" ca="1" si="68"/>
        <v>93791.307139173383</v>
      </c>
      <c r="R347" s="13">
        <v>150000</v>
      </c>
      <c r="S347" s="13">
        <f ca="1">MIN(IF(AND(MONTH(A347)=5,'ÖNYP kalkulátor'!$IU$6="igen"),(M347+N347)*12/(1+IF('ÖNYP kalkulátor'!$C$16="nem",0,VLOOKUP(YEAR(A347),'ÖNYP kalkulátor'!$E$15:$J$75,4)))*0.2,0),R347)</f>
        <v>0</v>
      </c>
      <c r="T347" s="4">
        <f ca="1">(1+VLOOKUP(YEAR(A347),'ÖNYP kalkulátor'!$E$15:$F$75,2,FALSE)+VLOOKUP(YEAR(A347),'ÖNYP kalkulátor'!$E$15:$I$75,5,FALSE))^(1/12)-1</f>
        <v>4.0741237836483535E-3</v>
      </c>
      <c r="U347" s="8">
        <f t="shared" ca="1" si="63"/>
        <v>204719.63273444033</v>
      </c>
      <c r="V347" s="14">
        <f t="shared" ca="1" si="64"/>
        <v>50453470.924015805</v>
      </c>
      <c r="W347" s="8">
        <f t="shared" ca="1" si="65"/>
        <v>21534006.124008708</v>
      </c>
    </row>
    <row r="348" spans="1:23" x14ac:dyDescent="0.2">
      <c r="A348" s="6">
        <f t="shared" ca="1" si="69"/>
        <v>56158</v>
      </c>
      <c r="B348" s="12">
        <f t="shared" ca="1" si="70"/>
        <v>10</v>
      </c>
      <c r="C348" s="7">
        <f ca="1">(YEAR(A348)-YEAR('ÖNYP kalkulátor'!$C$10))+(MONTH(CF!A348)-MONTH('ÖNYP kalkulátor'!$C$10)-1)/12</f>
        <v>72.333333333333329</v>
      </c>
      <c r="D348" s="4">
        <f ca="1">(1+VLOOKUP(YEAR(A348),'ÖNYP kalkulátor'!$E$15:$F$75,2,FALSE))^(1/12)-1</f>
        <v>2.4662697723036864E-3</v>
      </c>
      <c r="E348" s="4">
        <f t="shared" ca="1" si="61"/>
        <v>2.3487456306550021</v>
      </c>
      <c r="F348" s="8">
        <f t="shared" ca="1" si="62"/>
        <v>50453470.924015805</v>
      </c>
      <c r="G348" s="8">
        <v>10000</v>
      </c>
      <c r="H348" s="8">
        <v>250000</v>
      </c>
      <c r="I348" s="8">
        <v>500000</v>
      </c>
      <c r="J348" s="8">
        <v>750000</v>
      </c>
      <c r="K348" s="8"/>
      <c r="L348" s="4">
        <f ca="1">+IF('ÖNYP kalkulátor'!$C$16="nem",0,
IF(MONTH(A348)=1,VLOOKUP(YEAR(A348),'ÖNYP kalkulátor'!$E$15:$J$75,4),0))</f>
        <v>0</v>
      </c>
      <c r="M348" s="8">
        <f t="shared" ca="1" si="71"/>
        <v>70696.965180281419</v>
      </c>
      <c r="N348" s="8">
        <f t="shared" ca="1" si="72"/>
        <v>23565.655060093814</v>
      </c>
      <c r="O348" s="8">
        <f t="shared" ca="1" si="66"/>
        <v>942626.20240375248</v>
      </c>
      <c r="P348" s="8">
        <f t="shared" ca="1" si="67"/>
        <v>908763.07139173371</v>
      </c>
      <c r="Q348" s="8">
        <f t="shared" ca="1" si="68"/>
        <v>93791.307139173383</v>
      </c>
      <c r="R348" s="13">
        <v>150000</v>
      </c>
      <c r="S348" s="13">
        <f ca="1">MIN(IF(AND(MONTH(A348)=5,'ÖNYP kalkulátor'!$IU$6="igen"),(M348+N348)*12/(1+IF('ÖNYP kalkulátor'!$C$16="nem",0,VLOOKUP(YEAR(A348),'ÖNYP kalkulátor'!$E$15:$J$75,4)))*0.2,0),R348)</f>
        <v>0</v>
      </c>
      <c r="T348" s="4">
        <f ca="1">(1+VLOOKUP(YEAR(A348),'ÖNYP kalkulátor'!$E$15:$F$75,2,FALSE)+VLOOKUP(YEAR(A348),'ÖNYP kalkulátor'!$E$15:$I$75,5,FALSE))^(1/12)-1</f>
        <v>4.0741237836483535E-3</v>
      </c>
      <c r="U348" s="8">
        <f t="shared" ca="1" si="63"/>
        <v>205935.80325425864</v>
      </c>
      <c r="V348" s="14">
        <f t="shared" ca="1" si="64"/>
        <v>50753198.03440924</v>
      </c>
      <c r="W348" s="8">
        <f t="shared" ca="1" si="65"/>
        <v>21608639.68068587</v>
      </c>
    </row>
    <row r="349" spans="1:23" x14ac:dyDescent="0.2">
      <c r="A349" s="6">
        <f t="shared" ca="1" si="69"/>
        <v>56189</v>
      </c>
      <c r="B349" s="12">
        <f t="shared" ca="1" si="70"/>
        <v>11</v>
      </c>
      <c r="C349" s="7">
        <f ca="1">(YEAR(A349)-YEAR('ÖNYP kalkulátor'!$C$10))+(MONTH(CF!A349)-MONTH('ÖNYP kalkulátor'!$C$10)-1)/12</f>
        <v>72.416666666666671</v>
      </c>
      <c r="D349" s="4">
        <f ca="1">(1+VLOOKUP(YEAR(A349),'ÖNYP kalkulátor'!$E$15:$F$75,2,FALSE))^(1/12)-1</f>
        <v>2.4662697723036864E-3</v>
      </c>
      <c r="E349" s="4">
        <f t="shared" ca="1" si="61"/>
        <v>2.3545382710067169</v>
      </c>
      <c r="F349" s="8">
        <f t="shared" ca="1" si="62"/>
        <v>50753198.03440924</v>
      </c>
      <c r="G349" s="8">
        <v>10000</v>
      </c>
      <c r="H349" s="8">
        <v>250000</v>
      </c>
      <c r="I349" s="8">
        <v>500000</v>
      </c>
      <c r="J349" s="8">
        <v>750000</v>
      </c>
      <c r="K349" s="8"/>
      <c r="L349" s="4">
        <f ca="1">+IF('ÖNYP kalkulátor'!$C$16="nem",0,
IF(MONTH(A349)=1,VLOOKUP(YEAR(A349),'ÖNYP kalkulátor'!$E$15:$J$75,4),0))</f>
        <v>0</v>
      </c>
      <c r="M349" s="8">
        <f t="shared" ca="1" si="71"/>
        <v>70696.965180281419</v>
      </c>
      <c r="N349" s="8">
        <f t="shared" ca="1" si="72"/>
        <v>23565.655060093814</v>
      </c>
      <c r="O349" s="8">
        <f t="shared" ca="1" si="66"/>
        <v>1036888.8226441278</v>
      </c>
      <c r="P349" s="8">
        <f t="shared" ca="1" si="67"/>
        <v>1002554.3785309072</v>
      </c>
      <c r="Q349" s="8">
        <f t="shared" ca="1" si="68"/>
        <v>93791.307139173499</v>
      </c>
      <c r="R349" s="13">
        <v>150000</v>
      </c>
      <c r="S349" s="13">
        <f ca="1">MIN(IF(AND(MONTH(A349)=5,'ÖNYP kalkulátor'!$IU$6="igen"),(M349+N349)*12/(1+IF('ÖNYP kalkulátor'!$C$16="nem",0,VLOOKUP(YEAR(A349),'ÖNYP kalkulátor'!$E$15:$J$75,4)))*0.2,0),R349)</f>
        <v>0</v>
      </c>
      <c r="T349" s="4">
        <f ca="1">(1+VLOOKUP(YEAR(A349),'ÖNYP kalkulátor'!$E$15:$F$75,2,FALSE)+VLOOKUP(YEAR(A349),'ÖNYP kalkulátor'!$E$15:$I$75,5,FALSE))^(1/12)-1</f>
        <v>4.0741237836483535E-3</v>
      </c>
      <c r="U349" s="8">
        <f t="shared" ca="1" si="63"/>
        <v>207156.92860331672</v>
      </c>
      <c r="V349" s="14">
        <f t="shared" ca="1" si="64"/>
        <v>51054146.270151727</v>
      </c>
      <c r="W349" s="8">
        <f t="shared" ca="1" si="65"/>
        <v>21683294.29970267</v>
      </c>
    </row>
    <row r="350" spans="1:23" x14ac:dyDescent="0.2">
      <c r="A350" s="6">
        <f t="shared" ca="1" si="69"/>
        <v>56219</v>
      </c>
      <c r="B350" s="12">
        <f t="shared" ca="1" si="70"/>
        <v>12</v>
      </c>
      <c r="C350" s="7">
        <f ca="1">(YEAR(A350)-YEAR('ÖNYP kalkulátor'!$C$10))+(MONTH(CF!A350)-MONTH('ÖNYP kalkulátor'!$C$10)-1)/12</f>
        <v>72.5</v>
      </c>
      <c r="D350" s="4">
        <f ca="1">(1+VLOOKUP(YEAR(A350),'ÖNYP kalkulátor'!$E$15:$F$75,2,FALSE))^(1/12)-1</f>
        <v>2.4662697723036864E-3</v>
      </c>
      <c r="E350" s="4">
        <f t="shared" ca="1" si="61"/>
        <v>2.3603451975722329</v>
      </c>
      <c r="F350" s="8">
        <f t="shared" ca="1" si="62"/>
        <v>51054146.270151727</v>
      </c>
      <c r="G350" s="8">
        <v>10000</v>
      </c>
      <c r="H350" s="8">
        <v>250000</v>
      </c>
      <c r="I350" s="8">
        <v>500000</v>
      </c>
      <c r="J350" s="8">
        <v>750000</v>
      </c>
      <c r="K350" s="8"/>
      <c r="L350" s="4">
        <f ca="1">+IF('ÖNYP kalkulátor'!$C$16="nem",0,
IF(MONTH(A350)=1,VLOOKUP(YEAR(A350),'ÖNYP kalkulátor'!$E$15:$J$75,4),0))</f>
        <v>0</v>
      </c>
      <c r="M350" s="8">
        <f t="shared" ca="1" si="71"/>
        <v>70696.965180281419</v>
      </c>
      <c r="N350" s="8">
        <f t="shared" ca="1" si="72"/>
        <v>23565.655060093814</v>
      </c>
      <c r="O350" s="8">
        <f t="shared" ca="1" si="66"/>
        <v>1131151.4428845029</v>
      </c>
      <c r="P350" s="8">
        <f t="shared" ca="1" si="67"/>
        <v>1096345.6856700804</v>
      </c>
      <c r="Q350" s="8">
        <f t="shared" ca="1" si="68"/>
        <v>93791.30713917315</v>
      </c>
      <c r="R350" s="13">
        <v>150000</v>
      </c>
      <c r="S350" s="13">
        <f ca="1">MIN(IF(AND(MONTH(A350)=5,'ÖNYP kalkulátor'!$IU$6="igen"),(M350+N350)*12/(1+IF('ÖNYP kalkulátor'!$C$16="nem",0,VLOOKUP(YEAR(A350),'ÖNYP kalkulátor'!$E$15:$J$75,4)))*0.2,0),R350)</f>
        <v>0</v>
      </c>
      <c r="T350" s="4">
        <f ca="1">(1+VLOOKUP(YEAR(A350),'ÖNYP kalkulátor'!$E$15:$F$75,2,FALSE)+VLOOKUP(YEAR(A350),'ÖNYP kalkulátor'!$E$15:$I$75,5,FALSE))^(1/12)-1</f>
        <v>4.0741237836483535E-3</v>
      </c>
      <c r="U350" s="8">
        <f t="shared" ca="1" si="63"/>
        <v>208383.02896820221</v>
      </c>
      <c r="V350" s="14">
        <f t="shared" ca="1" si="64"/>
        <v>51356320.6062591</v>
      </c>
      <c r="W350" s="8">
        <f t="shared" ca="1" si="65"/>
        <v>21757970.25752097</v>
      </c>
    </row>
    <row r="351" spans="1:23" x14ac:dyDescent="0.2">
      <c r="A351" s="6">
        <f t="shared" ca="1" si="69"/>
        <v>56250</v>
      </c>
      <c r="B351" s="12">
        <f t="shared" ca="1" si="70"/>
        <v>1</v>
      </c>
      <c r="C351" s="7">
        <f ca="1">(YEAR(A351)-YEAR('ÖNYP kalkulátor'!$C$10))+(MONTH(CF!A351)-MONTH('ÖNYP kalkulátor'!$C$10)-1)/12</f>
        <v>72.583333333333329</v>
      </c>
      <c r="D351" s="4">
        <f ca="1">(1+VLOOKUP(YEAR(A351),'ÖNYP kalkulátor'!$E$15:$F$75,2,FALSE))^(1/12)-1</f>
        <v>2.4662697723036864E-3</v>
      </c>
      <c r="E351" s="4">
        <f t="shared" ca="1" si="61"/>
        <v>2.3661664455852076</v>
      </c>
      <c r="F351" s="8">
        <f t="shared" ca="1" si="62"/>
        <v>51356320.6062591</v>
      </c>
      <c r="G351" s="8">
        <v>10000</v>
      </c>
      <c r="H351" s="8">
        <v>250000</v>
      </c>
      <c r="I351" s="8">
        <v>500000</v>
      </c>
      <c r="J351" s="8">
        <v>750000</v>
      </c>
      <c r="K351" s="8"/>
      <c r="L351" s="4">
        <f ca="1">+IF('ÖNYP kalkulátor'!$C$16="nem",0,
IF(MONTH(A351)=1,VLOOKUP(YEAR(A351),'ÖNYP kalkulátor'!$E$15:$J$75,4),0))</f>
        <v>0.03</v>
      </c>
      <c r="M351" s="8">
        <f t="shared" ca="1" si="71"/>
        <v>72817.874135689868</v>
      </c>
      <c r="N351" s="8">
        <f t="shared" ca="1" si="72"/>
        <v>24272.624711896628</v>
      </c>
      <c r="O351" s="8">
        <f t="shared" ca="1" si="66"/>
        <v>97090.498847586496</v>
      </c>
      <c r="P351" s="8">
        <f t="shared" ca="1" si="67"/>
        <v>90865.068916731296</v>
      </c>
      <c r="Q351" s="8">
        <f t="shared" ca="1" si="68"/>
        <v>90865.068916731296</v>
      </c>
      <c r="R351" s="13">
        <v>150000</v>
      </c>
      <c r="S351" s="13">
        <f ca="1">MIN(IF(AND(MONTH(A351)=5,'ÖNYP kalkulátor'!$IU$6="igen"),(M351+N351)*12/(1+IF('ÖNYP kalkulátor'!$C$16="nem",0,VLOOKUP(YEAR(A351),'ÖNYP kalkulátor'!$E$15:$J$75,4)))*0.2,0),R351)</f>
        <v>0</v>
      </c>
      <c r="T351" s="4">
        <f ca="1">(1+VLOOKUP(YEAR(A351),'ÖNYP kalkulátor'!$E$15:$F$75,2,FALSE)+VLOOKUP(YEAR(A351),'ÖNYP kalkulátor'!$E$15:$I$75,5,FALSE))^(1/12)-1</f>
        <v>4.0741237836483535E-3</v>
      </c>
      <c r="U351" s="8">
        <f t="shared" ca="1" si="63"/>
        <v>209602.20276100672</v>
      </c>
      <c r="V351" s="14">
        <f t="shared" ca="1" si="64"/>
        <v>51656787.87793684</v>
      </c>
      <c r="W351" s="8">
        <f t="shared" ca="1" si="65"/>
        <v>21831426.091904081</v>
      </c>
    </row>
    <row r="352" spans="1:23" x14ac:dyDescent="0.2">
      <c r="A352" s="6">
        <f t="shared" ca="1" si="69"/>
        <v>56281</v>
      </c>
      <c r="B352" s="12">
        <f t="shared" ca="1" si="70"/>
        <v>2</v>
      </c>
      <c r="C352" s="7">
        <f ca="1">(YEAR(A352)-YEAR('ÖNYP kalkulátor'!$C$10))+(MONTH(CF!A352)-MONTH('ÖNYP kalkulátor'!$C$10)-1)/12</f>
        <v>72.666666666666671</v>
      </c>
      <c r="D352" s="4">
        <f ca="1">(1+VLOOKUP(YEAR(A352),'ÖNYP kalkulátor'!$E$15:$F$75,2,FALSE))^(1/12)-1</f>
        <v>2.4662697723036864E-3</v>
      </c>
      <c r="E352" s="4">
        <f t="shared" ca="1" si="61"/>
        <v>2.3720020503661936</v>
      </c>
      <c r="F352" s="8">
        <f t="shared" ca="1" si="62"/>
        <v>51656787.87793684</v>
      </c>
      <c r="G352" s="8">
        <v>10000</v>
      </c>
      <c r="H352" s="8">
        <v>250000</v>
      </c>
      <c r="I352" s="8">
        <v>500000</v>
      </c>
      <c r="J352" s="8">
        <v>750000</v>
      </c>
      <c r="K352" s="8"/>
      <c r="L352" s="4">
        <f ca="1">+IF('ÖNYP kalkulátor'!$C$16="nem",0,
IF(MONTH(A352)=1,VLOOKUP(YEAR(A352),'ÖNYP kalkulátor'!$E$15:$J$75,4),0))</f>
        <v>0</v>
      </c>
      <c r="M352" s="8">
        <f t="shared" ca="1" si="71"/>
        <v>72817.874135689868</v>
      </c>
      <c r="N352" s="8">
        <f t="shared" ca="1" si="72"/>
        <v>24272.624711896628</v>
      </c>
      <c r="O352" s="8">
        <f t="shared" ca="1" si="66"/>
        <v>194180.99769517302</v>
      </c>
      <c r="P352" s="8">
        <f t="shared" ca="1" si="67"/>
        <v>182130.13783346262</v>
      </c>
      <c r="Q352" s="8">
        <f t="shared" ca="1" si="68"/>
        <v>91265.068916731325</v>
      </c>
      <c r="R352" s="13">
        <v>150000</v>
      </c>
      <c r="S352" s="13">
        <f ca="1">MIN(IF(AND(MONTH(A352)=5,'ÖNYP kalkulátor'!$IU$6="igen"),(M352+N352)*12/(1+IF('ÖNYP kalkulátor'!$C$16="nem",0,VLOOKUP(YEAR(A352),'ÖNYP kalkulátor'!$E$15:$J$75,4)))*0.2,0),R352)</f>
        <v>0</v>
      </c>
      <c r="T352" s="4">
        <f ca="1">(1+VLOOKUP(YEAR(A352),'ÖNYP kalkulátor'!$E$15:$F$75,2,FALSE)+VLOOKUP(YEAR(A352),'ÖNYP kalkulátor'!$E$15:$I$75,5,FALSE))^(1/12)-1</f>
        <v>4.0741237836483535E-3</v>
      </c>
      <c r="U352" s="8">
        <f t="shared" ca="1" si="63"/>
        <v>210827.97326827041</v>
      </c>
      <c r="V352" s="14">
        <f t="shared" ca="1" si="64"/>
        <v>51958880.920121841</v>
      </c>
      <c r="W352" s="8">
        <f t="shared" ca="1" si="65"/>
        <v>21905074.20181207</v>
      </c>
    </row>
    <row r="353" spans="1:23" x14ac:dyDescent="0.2">
      <c r="A353" s="6">
        <f t="shared" ca="1" si="69"/>
        <v>56309</v>
      </c>
      <c r="B353" s="12">
        <f t="shared" ca="1" si="70"/>
        <v>3</v>
      </c>
      <c r="C353" s="7">
        <f ca="1">(YEAR(A353)-YEAR('ÖNYP kalkulátor'!$C$10))+(MONTH(CF!A353)-MONTH('ÖNYP kalkulátor'!$C$10)-1)/12</f>
        <v>72.75</v>
      </c>
      <c r="D353" s="4">
        <f ca="1">(1+VLOOKUP(YEAR(A353),'ÖNYP kalkulátor'!$E$15:$F$75,2,FALSE))^(1/12)-1</f>
        <v>2.4662697723036864E-3</v>
      </c>
      <c r="E353" s="4">
        <f t="shared" ca="1" si="61"/>
        <v>2.3778520473228539</v>
      </c>
      <c r="F353" s="8">
        <f t="shared" ca="1" si="62"/>
        <v>51958880.920121841</v>
      </c>
      <c r="G353" s="8">
        <v>10000</v>
      </c>
      <c r="H353" s="8">
        <v>250000</v>
      </c>
      <c r="I353" s="8">
        <v>500000</v>
      </c>
      <c r="J353" s="8">
        <v>750000</v>
      </c>
      <c r="K353" s="8"/>
      <c r="L353" s="4">
        <f ca="1">+IF('ÖNYP kalkulátor'!$C$16="nem",0,
IF(MONTH(A353)=1,VLOOKUP(YEAR(A353),'ÖNYP kalkulátor'!$E$15:$J$75,4),0))</f>
        <v>0</v>
      </c>
      <c r="M353" s="8">
        <f t="shared" ca="1" si="71"/>
        <v>72817.874135689868</v>
      </c>
      <c r="N353" s="8">
        <f t="shared" ca="1" si="72"/>
        <v>24272.624711896628</v>
      </c>
      <c r="O353" s="8">
        <f t="shared" ca="1" si="66"/>
        <v>291271.49654275953</v>
      </c>
      <c r="P353" s="8">
        <f t="shared" ca="1" si="67"/>
        <v>273807.92171562155</v>
      </c>
      <c r="Q353" s="8">
        <f t="shared" ca="1" si="68"/>
        <v>91677.783882158925</v>
      </c>
      <c r="R353" s="13">
        <v>150000</v>
      </c>
      <c r="S353" s="13">
        <f ca="1">MIN(IF(AND(MONTH(A353)=5,'ÖNYP kalkulátor'!$IU$6="igen"),(M353+N353)*12/(1+IF('ÖNYP kalkulátor'!$C$16="nem",0,VLOOKUP(YEAR(A353),'ÖNYP kalkulátor'!$E$15:$J$75,4)))*0.2,0),R353)</f>
        <v>0</v>
      </c>
      <c r="T353" s="4">
        <f ca="1">(1+VLOOKUP(YEAR(A353),'ÖNYP kalkulátor'!$E$15:$F$75,2,FALSE)+VLOOKUP(YEAR(A353),'ÖNYP kalkulátor'!$E$15:$I$75,5,FALSE))^(1/12)-1</f>
        <v>4.0741237836483535E-3</v>
      </c>
      <c r="U353" s="8">
        <f t="shared" ca="1" si="63"/>
        <v>212060.41916816751</v>
      </c>
      <c r="V353" s="14">
        <f t="shared" ca="1" si="64"/>
        <v>52262619.123172164</v>
      </c>
      <c r="W353" s="8">
        <f t="shared" ca="1" si="65"/>
        <v>21978919.664918993</v>
      </c>
    </row>
    <row r="354" spans="1:23" x14ac:dyDescent="0.2">
      <c r="A354" s="6">
        <f t="shared" ca="1" si="69"/>
        <v>56340</v>
      </c>
      <c r="B354" s="12">
        <f t="shared" ca="1" si="70"/>
        <v>4</v>
      </c>
      <c r="C354" s="7">
        <f ca="1">(YEAR(A354)-YEAR('ÖNYP kalkulátor'!$C$10))+(MONTH(CF!A354)-MONTH('ÖNYP kalkulátor'!$C$10)-1)/12</f>
        <v>72.833333333333329</v>
      </c>
      <c r="D354" s="4">
        <f ca="1">(1+VLOOKUP(YEAR(A354),'ÖNYP kalkulátor'!$E$15:$F$75,2,FALSE))^(1/12)-1</f>
        <v>2.4662697723036864E-3</v>
      </c>
      <c r="E354" s="4">
        <f t="shared" ca="1" si="61"/>
        <v>2.3837164719501769</v>
      </c>
      <c r="F354" s="8">
        <f t="shared" ca="1" si="62"/>
        <v>52262619.123172164</v>
      </c>
      <c r="G354" s="8">
        <v>10000</v>
      </c>
      <c r="H354" s="8">
        <v>250000</v>
      </c>
      <c r="I354" s="8">
        <v>500000</v>
      </c>
      <c r="J354" s="8">
        <v>750000</v>
      </c>
      <c r="K354" s="8"/>
      <c r="L354" s="4">
        <f ca="1">+IF('ÖNYP kalkulátor'!$C$16="nem",0,
IF(MONTH(A354)=1,VLOOKUP(YEAR(A354),'ÖNYP kalkulátor'!$E$15:$J$75,4),0))</f>
        <v>0</v>
      </c>
      <c r="M354" s="8">
        <f t="shared" ca="1" si="71"/>
        <v>72817.874135689868</v>
      </c>
      <c r="N354" s="8">
        <f t="shared" ca="1" si="72"/>
        <v>24272.624711896628</v>
      </c>
      <c r="O354" s="8">
        <f t="shared" ca="1" si="66"/>
        <v>388361.99539034604</v>
      </c>
      <c r="P354" s="8">
        <f t="shared" ca="1" si="67"/>
        <v>366043.89562082873</v>
      </c>
      <c r="Q354" s="8">
        <f t="shared" ca="1" si="68"/>
        <v>92235.973905207182</v>
      </c>
      <c r="R354" s="13">
        <v>150000</v>
      </c>
      <c r="S354" s="13">
        <f ca="1">MIN(IF(AND(MONTH(A354)=5,'ÖNYP kalkulátor'!$IU$6="igen"),(M354+N354)*12/(1+IF('ÖNYP kalkulátor'!$C$16="nem",0,VLOOKUP(YEAR(A354),'ÖNYP kalkulátor'!$E$15:$J$75,4)))*0.2,0),R354)</f>
        <v>0</v>
      </c>
      <c r="T354" s="4">
        <f ca="1">(1+VLOOKUP(YEAR(A354),'ÖNYP kalkulátor'!$E$15:$F$75,2,FALSE)+VLOOKUP(YEAR(A354),'ÖNYP kalkulátor'!$E$15:$I$75,5,FALSE))^(1/12)-1</f>
        <v>4.0741237836483535E-3</v>
      </c>
      <c r="U354" s="8">
        <f t="shared" ca="1" si="63"/>
        <v>213300.16034046613</v>
      </c>
      <c r="V354" s="14">
        <f t="shared" ca="1" si="64"/>
        <v>52568155.257417835</v>
      </c>
      <c r="W354" s="8">
        <f t="shared" ca="1" si="65"/>
        <v>22053023.451405082</v>
      </c>
    </row>
    <row r="355" spans="1:23" x14ac:dyDescent="0.2">
      <c r="A355" s="6">
        <f t="shared" ca="1" si="69"/>
        <v>56370</v>
      </c>
      <c r="B355" s="12">
        <f t="shared" ca="1" si="70"/>
        <v>5</v>
      </c>
      <c r="C355" s="7">
        <f ca="1">(YEAR(A355)-YEAR('ÖNYP kalkulátor'!$C$10))+(MONTH(CF!A355)-MONTH('ÖNYP kalkulátor'!$C$10)-1)/12</f>
        <v>72.916666666666671</v>
      </c>
      <c r="D355" s="4">
        <f ca="1">(1+VLOOKUP(YEAR(A355),'ÖNYP kalkulátor'!$E$15:$F$75,2,FALSE))^(1/12)-1</f>
        <v>2.4662697723036864E-3</v>
      </c>
      <c r="E355" s="4">
        <f t="shared" ca="1" si="61"/>
        <v>2.38959535983069</v>
      </c>
      <c r="F355" s="8">
        <f t="shared" ca="1" si="62"/>
        <v>52568155.257417835</v>
      </c>
      <c r="G355" s="8">
        <v>10000</v>
      </c>
      <c r="H355" s="8">
        <v>250000</v>
      </c>
      <c r="I355" s="8">
        <v>500000</v>
      </c>
      <c r="J355" s="8">
        <v>750000</v>
      </c>
      <c r="K355" s="8"/>
      <c r="L355" s="4">
        <f ca="1">+IF('ÖNYP kalkulátor'!$C$16="nem",0,
IF(MONTH(A355)=1,VLOOKUP(YEAR(A355),'ÖNYP kalkulátor'!$E$15:$J$75,4),0))</f>
        <v>0</v>
      </c>
      <c r="M355" s="8">
        <f t="shared" ca="1" si="71"/>
        <v>72817.874135689868</v>
      </c>
      <c r="N355" s="8">
        <f t="shared" ca="1" si="72"/>
        <v>24272.624711896628</v>
      </c>
      <c r="O355" s="8">
        <f t="shared" ca="1" si="66"/>
        <v>485452.49423793255</v>
      </c>
      <c r="P355" s="8">
        <f t="shared" ca="1" si="67"/>
        <v>458279.86952603591</v>
      </c>
      <c r="Q355" s="8">
        <f t="shared" ca="1" si="68"/>
        <v>92235.973905207182</v>
      </c>
      <c r="R355" s="13">
        <v>150000</v>
      </c>
      <c r="S355" s="13">
        <f ca="1">MIN(IF(AND(MONTH(A355)=5,'ÖNYP kalkulátor'!$IU$6="igen"),(M355+N355)*12/(1+IF('ÖNYP kalkulátor'!$C$16="nem",0,VLOOKUP(YEAR(A355),'ÖNYP kalkulátor'!$E$15:$J$75,4)))*0.2,0),R355)</f>
        <v>150000</v>
      </c>
      <c r="T355" s="4">
        <f ca="1">(1+VLOOKUP(YEAR(A355),'ÖNYP kalkulátor'!$E$15:$F$75,2,FALSE)+VLOOKUP(YEAR(A355),'ÖNYP kalkulátor'!$E$15:$I$75,5,FALSE))^(1/12)-1</f>
        <v>4.0741237836483535E-3</v>
      </c>
      <c r="U355" s="8">
        <f t="shared" ca="1" si="63"/>
        <v>215156.07093930765</v>
      </c>
      <c r="V355" s="14">
        <f t="shared" ca="1" si="64"/>
        <v>53025547.302262351</v>
      </c>
      <c r="W355" s="8">
        <f t="shared" ca="1" si="65"/>
        <v>22190178.384853981</v>
      </c>
    </row>
    <row r="356" spans="1:23" x14ac:dyDescent="0.2">
      <c r="A356" s="6">
        <f t="shared" ca="1" si="69"/>
        <v>56401</v>
      </c>
      <c r="B356" s="12">
        <f t="shared" ca="1" si="70"/>
        <v>6</v>
      </c>
      <c r="C356" s="7">
        <f ca="1">(YEAR(A356)-YEAR('ÖNYP kalkulátor'!$C$10))+(MONTH(CF!A356)-MONTH('ÖNYP kalkulátor'!$C$10)-1)/12</f>
        <v>73</v>
      </c>
      <c r="D356" s="4">
        <f ca="1">(1+VLOOKUP(YEAR(A356),'ÖNYP kalkulátor'!$E$15:$F$75,2,FALSE))^(1/12)-1</f>
        <v>2.4662697723036864E-3</v>
      </c>
      <c r="E356" s="4">
        <f t="shared" ca="1" si="61"/>
        <v>2.3954887466346775</v>
      </c>
      <c r="F356" s="8">
        <f t="shared" ca="1" si="62"/>
        <v>53025547.302262351</v>
      </c>
      <c r="G356" s="8">
        <v>10000</v>
      </c>
      <c r="H356" s="8">
        <v>250000</v>
      </c>
      <c r="I356" s="8">
        <v>500000</v>
      </c>
      <c r="J356" s="8">
        <v>750000</v>
      </c>
      <c r="K356" s="8"/>
      <c r="L356" s="4">
        <f ca="1">+IF('ÖNYP kalkulátor'!$C$16="nem",0,
IF(MONTH(A356)=1,VLOOKUP(YEAR(A356),'ÖNYP kalkulátor'!$E$15:$J$75,4),0))</f>
        <v>0</v>
      </c>
      <c r="M356" s="8">
        <f t="shared" ca="1" si="71"/>
        <v>72817.874135689868</v>
      </c>
      <c r="N356" s="8">
        <f t="shared" ca="1" si="72"/>
        <v>24272.624711896628</v>
      </c>
      <c r="O356" s="8">
        <f t="shared" ca="1" si="66"/>
        <v>582542.99308551906</v>
      </c>
      <c r="P356" s="8">
        <f t="shared" ca="1" si="67"/>
        <v>552992.13322380872</v>
      </c>
      <c r="Q356" s="8">
        <f t="shared" ca="1" si="68"/>
        <v>94712.263697772811</v>
      </c>
      <c r="R356" s="13">
        <v>150000</v>
      </c>
      <c r="S356" s="13">
        <f ca="1">MIN(IF(AND(MONTH(A356)=5,'ÖNYP kalkulátor'!$IU$6="igen"),(M356+N356)*12/(1+IF('ÖNYP kalkulátor'!$C$16="nem",0,VLOOKUP(YEAR(A356),'ÖNYP kalkulátor'!$E$15:$J$75,4)))*0.2,0),R356)</f>
        <v>0</v>
      </c>
      <c r="T356" s="4">
        <f ca="1">(1+VLOOKUP(YEAR(A356),'ÖNYP kalkulátor'!$E$15:$F$75,2,FALSE)+VLOOKUP(YEAR(A356),'ÖNYP kalkulátor'!$E$15:$I$75,5,FALSE))^(1/12)-1</f>
        <v>4.0741237836483535E-3</v>
      </c>
      <c r="U356" s="8">
        <f t="shared" ca="1" si="63"/>
        <v>216418.51289125212</v>
      </c>
      <c r="V356" s="14">
        <f t="shared" ca="1" si="64"/>
        <v>53336678.078851379</v>
      </c>
      <c r="W356" s="8">
        <f t="shared" ca="1" si="65"/>
        <v>22265468.019326687</v>
      </c>
    </row>
    <row r="357" spans="1:23" x14ac:dyDescent="0.2">
      <c r="A357" s="6">
        <f t="shared" ca="1" si="69"/>
        <v>56431</v>
      </c>
      <c r="B357" s="12">
        <f t="shared" ca="1" si="70"/>
        <v>7</v>
      </c>
      <c r="C357" s="7">
        <f ca="1">(YEAR(A357)-YEAR('ÖNYP kalkulátor'!$C$10))+(MONTH(CF!A357)-MONTH('ÖNYP kalkulátor'!$C$10)-1)/12</f>
        <v>73.083333333333329</v>
      </c>
      <c r="D357" s="4">
        <f ca="1">(1+VLOOKUP(YEAR(A357),'ÖNYP kalkulátor'!$E$15:$F$75,2,FALSE))^(1/12)-1</f>
        <v>2.4662697723036864E-3</v>
      </c>
      <c r="E357" s="4">
        <f t="shared" ca="1" si="61"/>
        <v>2.4013966681203964</v>
      </c>
      <c r="F357" s="8">
        <f t="shared" ca="1" si="62"/>
        <v>53336678.078851379</v>
      </c>
      <c r="G357" s="8">
        <v>10000</v>
      </c>
      <c r="H357" s="8">
        <v>250000</v>
      </c>
      <c r="I357" s="8">
        <v>500000</v>
      </c>
      <c r="J357" s="8">
        <v>750000</v>
      </c>
      <c r="K357" s="8"/>
      <c r="L357" s="4">
        <f ca="1">+IF('ÖNYP kalkulátor'!$C$16="nem",0,
IF(MONTH(A357)=1,VLOOKUP(YEAR(A357),'ÖNYP kalkulátor'!$E$15:$J$75,4),0))</f>
        <v>0</v>
      </c>
      <c r="M357" s="8">
        <f t="shared" ca="1" si="71"/>
        <v>72817.874135689868</v>
      </c>
      <c r="N357" s="8">
        <f t="shared" ca="1" si="72"/>
        <v>24272.624711896628</v>
      </c>
      <c r="O357" s="8">
        <f t="shared" ca="1" si="66"/>
        <v>679633.49193310563</v>
      </c>
      <c r="P357" s="8">
        <f t="shared" ca="1" si="67"/>
        <v>648140.82209444349</v>
      </c>
      <c r="Q357" s="8">
        <f t="shared" ca="1" si="68"/>
        <v>95148.688870634767</v>
      </c>
      <c r="R357" s="13">
        <v>150000</v>
      </c>
      <c r="S357" s="13">
        <f ca="1">MIN(IF(AND(MONTH(A357)=5,'ÖNYP kalkulátor'!$IU$6="igen"),(M357+N357)*12/(1+IF('ÖNYP kalkulátor'!$C$16="nem",0,VLOOKUP(YEAR(A357),'ÖNYP kalkulátor'!$E$15:$J$75,4)))*0.2,0),R357)</f>
        <v>0</v>
      </c>
      <c r="T357" s="4">
        <f ca="1">(1+VLOOKUP(YEAR(A357),'ÖNYP kalkulátor'!$E$15:$F$75,2,FALSE)+VLOOKUP(YEAR(A357),'ÖNYP kalkulátor'!$E$15:$I$75,5,FALSE))^(1/12)-1</f>
        <v>4.0741237836483535E-3</v>
      </c>
      <c r="U357" s="8">
        <f t="shared" ca="1" si="63"/>
        <v>217687.87623815497</v>
      </c>
      <c r="V357" s="14">
        <f t="shared" ca="1" si="64"/>
        <v>53649514.643960163</v>
      </c>
      <c r="W357" s="8">
        <f t="shared" ca="1" si="65"/>
        <v>22340963.222020425</v>
      </c>
    </row>
    <row r="358" spans="1:23" x14ac:dyDescent="0.2">
      <c r="A358" s="6">
        <f t="shared" ca="1" si="69"/>
        <v>56462</v>
      </c>
      <c r="B358" s="12">
        <f t="shared" ca="1" si="70"/>
        <v>8</v>
      </c>
      <c r="C358" s="7">
        <f ca="1">(YEAR(A358)-YEAR('ÖNYP kalkulátor'!$C$10))+(MONTH(CF!A358)-MONTH('ÖNYP kalkulátor'!$C$10)-1)/12</f>
        <v>73.166666666666671</v>
      </c>
      <c r="D358" s="4">
        <f ca="1">(1+VLOOKUP(YEAR(A358),'ÖNYP kalkulátor'!$E$15:$F$75,2,FALSE))^(1/12)-1</f>
        <v>2.4662697723036864E-3</v>
      </c>
      <c r="E358" s="4">
        <f t="shared" ca="1" si="61"/>
        <v>2.4073191601342927</v>
      </c>
      <c r="F358" s="8">
        <f t="shared" ca="1" si="62"/>
        <v>53649514.643960163</v>
      </c>
      <c r="G358" s="8">
        <v>10000</v>
      </c>
      <c r="H358" s="8">
        <v>250000</v>
      </c>
      <c r="I358" s="8">
        <v>500000</v>
      </c>
      <c r="J358" s="8">
        <v>750000</v>
      </c>
      <c r="K358" s="8"/>
      <c r="L358" s="4">
        <f ca="1">+IF('ÖNYP kalkulátor'!$C$16="nem",0,
IF(MONTH(A358)=1,VLOOKUP(YEAR(A358),'ÖNYP kalkulátor'!$E$15:$J$75,4),0))</f>
        <v>0</v>
      </c>
      <c r="M358" s="8">
        <f t="shared" ca="1" si="71"/>
        <v>72817.874135689868</v>
      </c>
      <c r="N358" s="8">
        <f t="shared" ca="1" si="72"/>
        <v>24272.624711896628</v>
      </c>
      <c r="O358" s="8">
        <f t="shared" ca="1" si="66"/>
        <v>776723.9907806922</v>
      </c>
      <c r="P358" s="8">
        <f t="shared" ca="1" si="67"/>
        <v>743690.37082678871</v>
      </c>
      <c r="Q358" s="8">
        <f t="shared" ca="1" si="68"/>
        <v>95549.548732345225</v>
      </c>
      <c r="R358" s="13">
        <v>150000</v>
      </c>
      <c r="S358" s="13">
        <f ca="1">MIN(IF(AND(MONTH(A358)=5,'ÖNYP kalkulátor'!$IU$6="igen"),(M358+N358)*12/(1+IF('ÖNYP kalkulátor'!$C$16="nem",0,VLOOKUP(YEAR(A358),'ÖNYP kalkulátor'!$E$15:$J$75,4)))*0.2,0),R358)</f>
        <v>0</v>
      </c>
      <c r="T358" s="4">
        <f ca="1">(1+VLOOKUP(YEAR(A358),'ÖNYP kalkulátor'!$E$15:$F$75,2,FALSE)+VLOOKUP(YEAR(A358),'ÖNYP kalkulátor'!$E$15:$I$75,5,FALSE))^(1/12)-1</f>
        <v>4.0741237836483535E-3</v>
      </c>
      <c r="U358" s="8">
        <f t="shared" ca="1" si="63"/>
        <v>218964.04428115606</v>
      </c>
      <c r="V358" s="14">
        <f t="shared" ca="1" si="64"/>
        <v>53964028.236973666</v>
      </c>
      <c r="W358" s="8">
        <f t="shared" ca="1" si="65"/>
        <v>22416648.831043772</v>
      </c>
    </row>
    <row r="359" spans="1:23" x14ac:dyDescent="0.2">
      <c r="A359" s="6">
        <f t="shared" ca="1" si="69"/>
        <v>56493</v>
      </c>
      <c r="B359" s="12">
        <f t="shared" ca="1" si="70"/>
        <v>9</v>
      </c>
      <c r="C359" s="7">
        <f ca="1">(YEAR(A359)-YEAR('ÖNYP kalkulátor'!$C$10))+(MONTH(CF!A359)-MONTH('ÖNYP kalkulátor'!$C$10)-1)/12</f>
        <v>73.25</v>
      </c>
      <c r="D359" s="4">
        <f ca="1">(1+VLOOKUP(YEAR(A359),'ÖNYP kalkulátor'!$E$15:$F$75,2,FALSE))^(1/12)-1</f>
        <v>2.4662697723036864E-3</v>
      </c>
      <c r="E359" s="4">
        <f t="shared" ref="E359:E422" ca="1" si="73">E358*(1+D358)</f>
        <v>2.4132562586112196</v>
      </c>
      <c r="F359" s="8">
        <f t="shared" ref="F359:F422" ca="1" si="74">+V358</f>
        <v>53964028.236973666</v>
      </c>
      <c r="G359" s="8">
        <v>10000</v>
      </c>
      <c r="H359" s="8">
        <v>250000</v>
      </c>
      <c r="I359" s="8">
        <v>500000</v>
      </c>
      <c r="J359" s="8">
        <v>750000</v>
      </c>
      <c r="K359" s="8"/>
      <c r="L359" s="4">
        <f ca="1">+IF('ÖNYP kalkulátor'!$C$16="nem",0,
IF(MONTH(A359)=1,VLOOKUP(YEAR(A359),'ÖNYP kalkulátor'!$E$15:$J$75,4),0))</f>
        <v>0</v>
      </c>
      <c r="M359" s="8">
        <f t="shared" ca="1" si="71"/>
        <v>72817.874135689868</v>
      </c>
      <c r="N359" s="8">
        <f t="shared" ca="1" si="72"/>
        <v>24272.624711896628</v>
      </c>
      <c r="O359" s="8">
        <f t="shared" ca="1" si="66"/>
        <v>873814.48962827877</v>
      </c>
      <c r="P359" s="8">
        <f t="shared" ca="1" si="67"/>
        <v>840295.41718013736</v>
      </c>
      <c r="Q359" s="8">
        <f t="shared" ca="1" si="68"/>
        <v>96605.046353348647</v>
      </c>
      <c r="R359" s="13">
        <v>150000</v>
      </c>
      <c r="S359" s="13">
        <f ca="1">MIN(IF(AND(MONTH(A359)=5,'ÖNYP kalkulátor'!$IU$6="igen"),(M359+N359)*12/(1+IF('ÖNYP kalkulátor'!$C$16="nem",0,VLOOKUP(YEAR(A359),'ÖNYP kalkulátor'!$E$15:$J$75,4)))*0.2,0),R359)</f>
        <v>0</v>
      </c>
      <c r="T359" s="4">
        <f ca="1">(1+VLOOKUP(YEAR(A359),'ÖNYP kalkulátor'!$E$15:$F$75,2,FALSE)+VLOOKUP(YEAR(A359),'ÖNYP kalkulátor'!$E$15:$I$75,5,FALSE))^(1/12)-1</f>
        <v>4.0741237836483535E-3</v>
      </c>
      <c r="U359" s="8">
        <f t="shared" ca="1" si="63"/>
        <v>220249.71181869437</v>
      </c>
      <c r="V359" s="14">
        <f t="shared" ca="1" si="64"/>
        <v>54280882.995145708</v>
      </c>
      <c r="W359" s="8">
        <f t="shared" ca="1" si="65"/>
        <v>22492796.942494314</v>
      </c>
    </row>
    <row r="360" spans="1:23" x14ac:dyDescent="0.2">
      <c r="A360" s="6">
        <f t="shared" ca="1" si="69"/>
        <v>56523</v>
      </c>
      <c r="B360" s="12">
        <f t="shared" ca="1" si="70"/>
        <v>10</v>
      </c>
      <c r="C360" s="7">
        <f ca="1">(YEAR(A360)-YEAR('ÖNYP kalkulátor'!$C$10))+(MONTH(CF!A360)-MONTH('ÖNYP kalkulátor'!$C$10)-1)/12</f>
        <v>73.333333333333329</v>
      </c>
      <c r="D360" s="4">
        <f ca="1">(1+VLOOKUP(YEAR(A360),'ÖNYP kalkulátor'!$E$15:$F$75,2,FALSE))^(1/12)-1</f>
        <v>2.4662697723036864E-3</v>
      </c>
      <c r="E360" s="4">
        <f t="shared" ca="1" si="73"/>
        <v>2.4192079995746552</v>
      </c>
      <c r="F360" s="8">
        <f t="shared" ca="1" si="74"/>
        <v>54280882.995145708</v>
      </c>
      <c r="G360" s="8">
        <v>10000</v>
      </c>
      <c r="H360" s="8">
        <v>250000</v>
      </c>
      <c r="I360" s="8">
        <v>500000</v>
      </c>
      <c r="J360" s="8">
        <v>750000</v>
      </c>
      <c r="K360" s="8"/>
      <c r="L360" s="4">
        <f ca="1">+IF('ÖNYP kalkulátor'!$C$16="nem",0,
IF(MONTH(A360)=1,VLOOKUP(YEAR(A360),'ÖNYP kalkulátor'!$E$15:$J$75,4),0))</f>
        <v>0</v>
      </c>
      <c r="M360" s="8">
        <f t="shared" ca="1" si="71"/>
        <v>72817.874135689868</v>
      </c>
      <c r="N360" s="8">
        <f t="shared" ca="1" si="72"/>
        <v>24272.624711896628</v>
      </c>
      <c r="O360" s="8">
        <f t="shared" ca="1" si="66"/>
        <v>970904.98847586534</v>
      </c>
      <c r="P360" s="8">
        <f t="shared" ca="1" si="67"/>
        <v>936900.46353348601</v>
      </c>
      <c r="Q360" s="8">
        <f t="shared" ca="1" si="68"/>
        <v>96605.046353348647</v>
      </c>
      <c r="R360" s="13">
        <v>150000</v>
      </c>
      <c r="S360" s="13">
        <f ca="1">MIN(IF(AND(MONTH(A360)=5,'ÖNYP kalkulátor'!$IU$6="igen"),(M360+N360)*12/(1+IF('ÖNYP kalkulátor'!$C$16="nem",0,VLOOKUP(YEAR(A360),'ÖNYP kalkulátor'!$E$15:$J$75,4)))*0.2,0),R360)</f>
        <v>0</v>
      </c>
      <c r="T360" s="4">
        <f ca="1">(1+VLOOKUP(YEAR(A360),'ÖNYP kalkulátor'!$E$15:$F$75,2,FALSE)+VLOOKUP(YEAR(A360),'ÖNYP kalkulátor'!$E$15:$I$75,5,FALSE))^(1/12)-1</f>
        <v>4.0741237836483535E-3</v>
      </c>
      <c r="U360" s="8">
        <f t="shared" ca="1" si="63"/>
        <v>221540.61732492523</v>
      </c>
      <c r="V360" s="14">
        <f t="shared" ca="1" si="64"/>
        <v>54599028.658823982</v>
      </c>
      <c r="W360" s="8">
        <f t="shared" ca="1" si="65"/>
        <v>22568968.3021979</v>
      </c>
    </row>
    <row r="361" spans="1:23" x14ac:dyDescent="0.2">
      <c r="A361" s="6">
        <f t="shared" ca="1" si="69"/>
        <v>56554</v>
      </c>
      <c r="B361" s="12">
        <f t="shared" ca="1" si="70"/>
        <v>11</v>
      </c>
      <c r="C361" s="7">
        <f ca="1">(YEAR(A361)-YEAR('ÖNYP kalkulátor'!$C$10))+(MONTH(CF!A361)-MONTH('ÖNYP kalkulátor'!$C$10)-1)/12</f>
        <v>73.416666666666671</v>
      </c>
      <c r="D361" s="4">
        <f ca="1">(1+VLOOKUP(YEAR(A361),'ÖNYP kalkulátor'!$E$15:$F$75,2,FALSE))^(1/12)-1</f>
        <v>2.4662697723036864E-3</v>
      </c>
      <c r="E361" s="4">
        <f t="shared" ca="1" si="73"/>
        <v>2.4251744191369213</v>
      </c>
      <c r="F361" s="8">
        <f t="shared" ca="1" si="74"/>
        <v>54599028.658823982</v>
      </c>
      <c r="G361" s="8">
        <v>10000</v>
      </c>
      <c r="H361" s="8">
        <v>250000</v>
      </c>
      <c r="I361" s="8">
        <v>500000</v>
      </c>
      <c r="J361" s="8">
        <v>750000</v>
      </c>
      <c r="K361" s="8"/>
      <c r="L361" s="4">
        <f ca="1">+IF('ÖNYP kalkulátor'!$C$16="nem",0,
IF(MONTH(A361)=1,VLOOKUP(YEAR(A361),'ÖNYP kalkulátor'!$E$15:$J$75,4),0))</f>
        <v>0</v>
      </c>
      <c r="M361" s="8">
        <f t="shared" ca="1" si="71"/>
        <v>72817.874135689868</v>
      </c>
      <c r="N361" s="8">
        <f t="shared" ca="1" si="72"/>
        <v>24272.624711896628</v>
      </c>
      <c r="O361" s="8">
        <f t="shared" ca="1" si="66"/>
        <v>1067995.4873234518</v>
      </c>
      <c r="P361" s="8">
        <f t="shared" ca="1" si="67"/>
        <v>1033505.5098868345</v>
      </c>
      <c r="Q361" s="8">
        <f t="shared" ca="1" si="68"/>
        <v>96605.046353348531</v>
      </c>
      <c r="R361" s="13">
        <v>150000</v>
      </c>
      <c r="S361" s="13">
        <f ca="1">MIN(IF(AND(MONTH(A361)=5,'ÖNYP kalkulátor'!$IU$6="igen"),(M361+N361)*12/(1+IF('ÖNYP kalkulátor'!$C$16="nem",0,VLOOKUP(YEAR(A361),'ÖNYP kalkulátor'!$E$15:$J$75,4)))*0.2,0),R361)</f>
        <v>0</v>
      </c>
      <c r="T361" s="4">
        <f ca="1">(1+VLOOKUP(YEAR(A361),'ÖNYP kalkulátor'!$E$15:$F$75,2,FALSE)+VLOOKUP(YEAR(A361),'ÖNYP kalkulátor'!$E$15:$I$75,5,FALSE))^(1/12)-1</f>
        <v>4.0741237836483535E-3</v>
      </c>
      <c r="U361" s="8">
        <f t="shared" ca="1" si="63"/>
        <v>222836.78213998149</v>
      </c>
      <c r="V361" s="14">
        <f t="shared" ca="1" si="64"/>
        <v>54918470.487317309</v>
      </c>
      <c r="W361" s="8">
        <f t="shared" ca="1" si="65"/>
        <v>22645163.190720882</v>
      </c>
    </row>
    <row r="362" spans="1:23" x14ac:dyDescent="0.2">
      <c r="A362" s="6">
        <f t="shared" ca="1" si="69"/>
        <v>56584</v>
      </c>
      <c r="B362" s="12">
        <f t="shared" ca="1" si="70"/>
        <v>12</v>
      </c>
      <c r="C362" s="7">
        <f ca="1">(YEAR(A362)-YEAR('ÖNYP kalkulátor'!$C$10))+(MONTH(CF!A362)-MONTH('ÖNYP kalkulátor'!$C$10)-1)/12</f>
        <v>73.5</v>
      </c>
      <c r="D362" s="4">
        <f ca="1">(1+VLOOKUP(YEAR(A362),'ÖNYP kalkulátor'!$E$15:$F$75,2,FALSE))^(1/12)-1</f>
        <v>2.4662697723036864E-3</v>
      </c>
      <c r="E362" s="4">
        <f t="shared" ca="1" si="73"/>
        <v>2.4311555534994027</v>
      </c>
      <c r="F362" s="8">
        <f t="shared" ca="1" si="74"/>
        <v>54918470.487317309</v>
      </c>
      <c r="G362" s="8">
        <v>10000</v>
      </c>
      <c r="H362" s="8">
        <v>250000</v>
      </c>
      <c r="I362" s="8">
        <v>500000</v>
      </c>
      <c r="J362" s="8">
        <v>750000</v>
      </c>
      <c r="K362" s="8"/>
      <c r="L362" s="4">
        <f ca="1">+IF('ÖNYP kalkulátor'!$C$16="nem",0,
IF(MONTH(A362)=1,VLOOKUP(YEAR(A362),'ÖNYP kalkulátor'!$E$15:$J$75,4),0))</f>
        <v>0</v>
      </c>
      <c r="M362" s="8">
        <f t="shared" ca="1" si="71"/>
        <v>72817.874135689868</v>
      </c>
      <c r="N362" s="8">
        <f t="shared" ca="1" si="72"/>
        <v>24272.624711896628</v>
      </c>
      <c r="O362" s="8">
        <f t="shared" ca="1" si="66"/>
        <v>1165085.9861710381</v>
      </c>
      <c r="P362" s="8">
        <f t="shared" ca="1" si="67"/>
        <v>1130110.5562401828</v>
      </c>
      <c r="Q362" s="8">
        <f t="shared" ca="1" si="68"/>
        <v>96605.046353348298</v>
      </c>
      <c r="R362" s="13">
        <v>150000</v>
      </c>
      <c r="S362" s="13">
        <f ca="1">MIN(IF(AND(MONTH(A362)=5,'ÖNYP kalkulátor'!$IU$6="igen"),(M362+N362)*12/(1+IF('ÖNYP kalkulátor'!$C$16="nem",0,VLOOKUP(YEAR(A362),'ÖNYP kalkulátor'!$E$15:$J$75,4)))*0.2,0),R362)</f>
        <v>0</v>
      </c>
      <c r="T362" s="4">
        <f ca="1">(1+VLOOKUP(YEAR(A362),'ÖNYP kalkulátor'!$E$15:$F$75,2,FALSE)+VLOOKUP(YEAR(A362),'ÖNYP kalkulátor'!$E$15:$I$75,5,FALSE))^(1/12)-1</f>
        <v>4.0741237836483535E-3</v>
      </c>
      <c r="U362" s="8">
        <f t="shared" ca="1" si="63"/>
        <v>224138.22769093825</v>
      </c>
      <c r="V362" s="14">
        <f t="shared" ca="1" si="64"/>
        <v>55239213.761361592</v>
      </c>
      <c r="W362" s="8">
        <f t="shared" ca="1" si="65"/>
        <v>22721381.888481107</v>
      </c>
    </row>
    <row r="363" spans="1:23" x14ac:dyDescent="0.2">
      <c r="A363" s="6">
        <f t="shared" ca="1" si="69"/>
        <v>56615</v>
      </c>
      <c r="B363" s="12">
        <f t="shared" ca="1" si="70"/>
        <v>1</v>
      </c>
      <c r="C363" s="7">
        <f ca="1">(YEAR(A363)-YEAR('ÖNYP kalkulátor'!$C$10))+(MONTH(CF!A363)-MONTH('ÖNYP kalkulátor'!$C$10)-1)/12</f>
        <v>73.583333333333329</v>
      </c>
      <c r="D363" s="4">
        <f ca="1">(1+VLOOKUP(YEAR(A363),'ÖNYP kalkulátor'!$E$15:$F$75,2,FALSE))^(1/12)-1</f>
        <v>2.4662697723036864E-3</v>
      </c>
      <c r="E363" s="4">
        <f t="shared" ca="1" si="73"/>
        <v>2.4371514389527666</v>
      </c>
      <c r="F363" s="8">
        <f t="shared" ca="1" si="74"/>
        <v>55239213.761361592</v>
      </c>
      <c r="G363" s="8">
        <v>10000</v>
      </c>
      <c r="H363" s="8">
        <v>250000</v>
      </c>
      <c r="I363" s="8">
        <v>500000</v>
      </c>
      <c r="J363" s="8">
        <v>750000</v>
      </c>
      <c r="K363" s="8"/>
      <c r="L363" s="4">
        <f ca="1">+IF('ÖNYP kalkulátor'!$C$16="nem",0,
IF(MONTH(A363)=1,VLOOKUP(YEAR(A363),'ÖNYP kalkulátor'!$E$15:$J$75,4),0))</f>
        <v>0.03</v>
      </c>
      <c r="M363" s="8">
        <f t="shared" ca="1" si="71"/>
        <v>75002.410359760572</v>
      </c>
      <c r="N363" s="8">
        <f t="shared" ca="1" si="72"/>
        <v>25000.803453253528</v>
      </c>
      <c r="O363" s="8">
        <f t="shared" ca="1" si="66"/>
        <v>100003.2138130141</v>
      </c>
      <c r="P363" s="8">
        <f t="shared" ca="1" si="67"/>
        <v>93603.020984233241</v>
      </c>
      <c r="Q363" s="8">
        <f t="shared" ca="1" si="68"/>
        <v>93603.020984233241</v>
      </c>
      <c r="R363" s="13">
        <v>150000</v>
      </c>
      <c r="S363" s="13">
        <f ca="1">MIN(IF(AND(MONTH(A363)=5,'ÖNYP kalkulátor'!$IU$6="igen"),(M363+N363)*12/(1+IF('ÖNYP kalkulátor'!$C$16="nem",0,VLOOKUP(YEAR(A363),'ÖNYP kalkulátor'!$E$15:$J$75,4)))*0.2,0),R363)</f>
        <v>0</v>
      </c>
      <c r="T363" s="4">
        <f ca="1">(1+VLOOKUP(YEAR(A363),'ÖNYP kalkulátor'!$E$15:$F$75,2,FALSE)+VLOOKUP(YEAR(A363),'ÖNYP kalkulátor'!$E$15:$I$75,5,FALSE))^(1/12)-1</f>
        <v>4.0741237836483535E-3</v>
      </c>
      <c r="U363" s="8">
        <f t="shared" ca="1" si="63"/>
        <v>225432.74486921189</v>
      </c>
      <c r="V363" s="14">
        <f t="shared" ca="1" si="64"/>
        <v>55558249.527215034</v>
      </c>
      <c r="W363" s="8">
        <f t="shared" ca="1" si="65"/>
        <v>22796387.88104533</v>
      </c>
    </row>
    <row r="364" spans="1:23" x14ac:dyDescent="0.2">
      <c r="A364" s="6">
        <f t="shared" ca="1" si="69"/>
        <v>56646</v>
      </c>
      <c r="B364" s="12">
        <f t="shared" ca="1" si="70"/>
        <v>2</v>
      </c>
      <c r="C364" s="7">
        <f ca="1">(YEAR(A364)-YEAR('ÖNYP kalkulátor'!$C$10))+(MONTH(CF!A364)-MONTH('ÖNYP kalkulátor'!$C$10)-1)/12</f>
        <v>73.666666666666671</v>
      </c>
      <c r="D364" s="4">
        <f ca="1">(1+VLOOKUP(YEAR(A364),'ÖNYP kalkulátor'!$E$15:$F$75,2,FALSE))^(1/12)-1</f>
        <v>2.4662697723036864E-3</v>
      </c>
      <c r="E364" s="4">
        <f t="shared" ca="1" si="73"/>
        <v>2.4431621118771822</v>
      </c>
      <c r="F364" s="8">
        <f t="shared" ca="1" si="74"/>
        <v>55558249.527215034</v>
      </c>
      <c r="G364" s="8">
        <v>10000</v>
      </c>
      <c r="H364" s="8">
        <v>250000</v>
      </c>
      <c r="I364" s="8">
        <v>500000</v>
      </c>
      <c r="J364" s="8">
        <v>750000</v>
      </c>
      <c r="K364" s="8"/>
      <c r="L364" s="4">
        <f ca="1">+IF('ÖNYP kalkulátor'!$C$16="nem",0,
IF(MONTH(A364)=1,VLOOKUP(YEAR(A364),'ÖNYP kalkulátor'!$E$15:$J$75,4),0))</f>
        <v>0</v>
      </c>
      <c r="M364" s="8">
        <f t="shared" ca="1" si="71"/>
        <v>75002.410359760572</v>
      </c>
      <c r="N364" s="8">
        <f t="shared" ca="1" si="72"/>
        <v>25000.803453253528</v>
      </c>
      <c r="O364" s="8">
        <f t="shared" ca="1" si="66"/>
        <v>200006.42762602819</v>
      </c>
      <c r="P364" s="8">
        <f t="shared" ca="1" si="67"/>
        <v>187606.04196846648</v>
      </c>
      <c r="Q364" s="8">
        <f t="shared" ca="1" si="68"/>
        <v>94003.020984233241</v>
      </c>
      <c r="R364" s="13">
        <v>150000</v>
      </c>
      <c r="S364" s="13">
        <f ca="1">MIN(IF(AND(MONTH(A364)=5,'ÖNYP kalkulátor'!$IU$6="igen"),(M364+N364)*12/(1+IF('ÖNYP kalkulátor'!$C$16="nem",0,VLOOKUP(YEAR(A364),'ÖNYP kalkulátor'!$E$15:$J$75,4)))*0.2,0),R364)</f>
        <v>0</v>
      </c>
      <c r="T364" s="4">
        <f ca="1">(1+VLOOKUP(YEAR(A364),'ÖNYP kalkulátor'!$E$15:$F$75,2,FALSE)+VLOOKUP(YEAR(A364),'ÖNYP kalkulátor'!$E$15:$I$75,5,FALSE))^(1/12)-1</f>
        <v>4.0741237836483535E-3</v>
      </c>
      <c r="U364" s="8">
        <f t="shared" ca="1" si="63"/>
        <v>226734.1657202233</v>
      </c>
      <c r="V364" s="14">
        <f t="shared" ca="1" si="64"/>
        <v>55878986.713919491</v>
      </c>
      <c r="W364" s="8">
        <f t="shared" ca="1" si="65"/>
        <v>22871583.691589486</v>
      </c>
    </row>
    <row r="365" spans="1:23" x14ac:dyDescent="0.2">
      <c r="A365" s="6">
        <f t="shared" ca="1" si="69"/>
        <v>56674</v>
      </c>
      <c r="B365" s="12">
        <f t="shared" ca="1" si="70"/>
        <v>3</v>
      </c>
      <c r="C365" s="7">
        <f ca="1">(YEAR(A365)-YEAR('ÖNYP kalkulátor'!$C$10))+(MONTH(CF!A365)-MONTH('ÖNYP kalkulátor'!$C$10)-1)/12</f>
        <v>73.75</v>
      </c>
      <c r="D365" s="4">
        <f ca="1">(1+VLOOKUP(YEAR(A365),'ÖNYP kalkulátor'!$E$15:$F$75,2,FALSE))^(1/12)-1</f>
        <v>2.4662697723036864E-3</v>
      </c>
      <c r="E365" s="4">
        <f t="shared" ca="1" si="73"/>
        <v>2.4491876087425424</v>
      </c>
      <c r="F365" s="8">
        <f t="shared" ca="1" si="74"/>
        <v>55878986.713919491</v>
      </c>
      <c r="G365" s="8">
        <v>10000</v>
      </c>
      <c r="H365" s="8">
        <v>250000</v>
      </c>
      <c r="I365" s="8">
        <v>500000</v>
      </c>
      <c r="J365" s="8">
        <v>750000</v>
      </c>
      <c r="K365" s="8"/>
      <c r="L365" s="4">
        <f ca="1">+IF('ÖNYP kalkulátor'!$C$16="nem",0,
IF(MONTH(A365)=1,VLOOKUP(YEAR(A365),'ÖNYP kalkulátor'!$E$15:$J$75,4),0))</f>
        <v>0</v>
      </c>
      <c r="M365" s="8">
        <f t="shared" ca="1" si="71"/>
        <v>75002.410359760572</v>
      </c>
      <c r="N365" s="8">
        <f t="shared" ca="1" si="72"/>
        <v>25000.803453253528</v>
      </c>
      <c r="O365" s="8">
        <f t="shared" ca="1" si="66"/>
        <v>300009.64143904229</v>
      </c>
      <c r="P365" s="8">
        <f t="shared" ca="1" si="67"/>
        <v>282109.15936709015</v>
      </c>
      <c r="Q365" s="8">
        <f t="shared" ca="1" si="68"/>
        <v>94503.117398623668</v>
      </c>
      <c r="R365" s="13">
        <v>150000</v>
      </c>
      <c r="S365" s="13">
        <f ca="1">MIN(IF(AND(MONTH(A365)=5,'ÖNYP kalkulátor'!$IU$6="igen"),(M365+N365)*12/(1+IF('ÖNYP kalkulátor'!$C$16="nem",0,VLOOKUP(YEAR(A365),'ÖNYP kalkulátor'!$E$15:$J$75,4)))*0.2,0),R365)</f>
        <v>0</v>
      </c>
      <c r="T365" s="4">
        <f ca="1">(1+VLOOKUP(YEAR(A365),'ÖNYP kalkulátor'!$E$15:$F$75,2,FALSE)+VLOOKUP(YEAR(A365),'ÖNYP kalkulátor'!$E$15:$I$75,5,FALSE))^(1/12)-1</f>
        <v>4.0741237836483535E-3</v>
      </c>
      <c r="U365" s="8">
        <f t="shared" ca="1" si="63"/>
        <v>228042.92617557241</v>
      </c>
      <c r="V365" s="14">
        <f t="shared" ca="1" si="64"/>
        <v>56201532.75749369</v>
      </c>
      <c r="W365" s="8">
        <f t="shared" ca="1" si="65"/>
        <v>22947010.084845472</v>
      </c>
    </row>
    <row r="366" spans="1:23" x14ac:dyDescent="0.2">
      <c r="A366" s="6">
        <f t="shared" ca="1" si="69"/>
        <v>56705</v>
      </c>
      <c r="B366" s="12">
        <f t="shared" ca="1" si="70"/>
        <v>4</v>
      </c>
      <c r="C366" s="7">
        <f ca="1">(YEAR(A366)-YEAR('ÖNYP kalkulátor'!$C$10))+(MONTH(CF!A366)-MONTH('ÖNYP kalkulátor'!$C$10)-1)/12</f>
        <v>73.833333333333329</v>
      </c>
      <c r="D366" s="4">
        <f ca="1">(1+VLOOKUP(YEAR(A366),'ÖNYP kalkulátor'!$E$15:$F$75,2,FALSE))^(1/12)-1</f>
        <v>2.4662697723036864E-3</v>
      </c>
      <c r="E366" s="4">
        <f t="shared" ca="1" si="73"/>
        <v>2.4552279661086849</v>
      </c>
      <c r="F366" s="8">
        <f t="shared" ca="1" si="74"/>
        <v>56201532.75749369</v>
      </c>
      <c r="G366" s="8">
        <v>10000</v>
      </c>
      <c r="H366" s="8">
        <v>250000</v>
      </c>
      <c r="I366" s="8">
        <v>500000</v>
      </c>
      <c r="J366" s="8">
        <v>750000</v>
      </c>
      <c r="K366" s="8"/>
      <c r="L366" s="4">
        <f ca="1">+IF('ÖNYP kalkulátor'!$C$16="nem",0,
IF(MONTH(A366)=1,VLOOKUP(YEAR(A366),'ÖNYP kalkulátor'!$E$15:$J$75,4),0))</f>
        <v>0</v>
      </c>
      <c r="M366" s="8">
        <f t="shared" ca="1" si="71"/>
        <v>75002.410359760572</v>
      </c>
      <c r="N366" s="8">
        <f t="shared" ca="1" si="72"/>
        <v>25000.803453253528</v>
      </c>
      <c r="O366" s="8">
        <f t="shared" ca="1" si="66"/>
        <v>400012.85525205638</v>
      </c>
      <c r="P366" s="8">
        <f t="shared" ca="1" si="67"/>
        <v>377112.21248945355</v>
      </c>
      <c r="Q366" s="8">
        <f t="shared" ca="1" si="68"/>
        <v>95003.053122363403</v>
      </c>
      <c r="R366" s="13">
        <v>150000</v>
      </c>
      <c r="S366" s="13">
        <f ca="1">MIN(IF(AND(MONTH(A366)=5,'ÖNYP kalkulátor'!$IU$6="igen"),(M366+N366)*12/(1+IF('ÖNYP kalkulátor'!$C$16="nem",0,VLOOKUP(YEAR(A366),'ÖNYP kalkulátor'!$E$15:$J$75,4)))*0.2,0),R366)</f>
        <v>0</v>
      </c>
      <c r="T366" s="4">
        <f ca="1">(1+VLOOKUP(YEAR(A366),'ÖNYP kalkulátor'!$E$15:$F$75,2,FALSE)+VLOOKUP(YEAR(A366),'ÖNYP kalkulátor'!$E$15:$I$75,5,FALSE))^(1/12)-1</f>
        <v>4.0741237836483535E-3</v>
      </c>
      <c r="U366" s="8">
        <f t="shared" ca="1" si="63"/>
        <v>229359.05548304212</v>
      </c>
      <c r="V366" s="14">
        <f t="shared" ca="1" si="64"/>
        <v>56525894.866099097</v>
      </c>
      <c r="W366" s="8">
        <f t="shared" ca="1" si="65"/>
        <v>23022666.589973535</v>
      </c>
    </row>
    <row r="367" spans="1:23" x14ac:dyDescent="0.2">
      <c r="A367" s="6">
        <f t="shared" ca="1" si="69"/>
        <v>56735</v>
      </c>
      <c r="B367" s="12">
        <f t="shared" ca="1" si="70"/>
        <v>5</v>
      </c>
      <c r="C367" s="7">
        <f ca="1">(YEAR(A367)-YEAR('ÖNYP kalkulátor'!$C$10))+(MONTH(CF!A367)-MONTH('ÖNYP kalkulátor'!$C$10)-1)/12</f>
        <v>73.916666666666671</v>
      </c>
      <c r="D367" s="4">
        <f ca="1">(1+VLOOKUP(YEAR(A367),'ÖNYP kalkulátor'!$E$15:$F$75,2,FALSE))^(1/12)-1</f>
        <v>2.4662697723036864E-3</v>
      </c>
      <c r="E367" s="4">
        <f t="shared" ca="1" si="73"/>
        <v>2.4612832206256132</v>
      </c>
      <c r="F367" s="8">
        <f t="shared" ca="1" si="74"/>
        <v>56525894.866099097</v>
      </c>
      <c r="G367" s="8">
        <v>10000</v>
      </c>
      <c r="H367" s="8">
        <v>250000</v>
      </c>
      <c r="I367" s="8">
        <v>500000</v>
      </c>
      <c r="J367" s="8">
        <v>750000</v>
      </c>
      <c r="K367" s="8"/>
      <c r="L367" s="4">
        <f ca="1">+IF('ÖNYP kalkulátor'!$C$16="nem",0,
IF(MONTH(A367)=1,VLOOKUP(YEAR(A367),'ÖNYP kalkulátor'!$E$15:$J$75,4),0))</f>
        <v>0</v>
      </c>
      <c r="M367" s="8">
        <f t="shared" ca="1" si="71"/>
        <v>75002.410359760572</v>
      </c>
      <c r="N367" s="8">
        <f t="shared" ca="1" si="72"/>
        <v>25000.803453253528</v>
      </c>
      <c r="O367" s="8">
        <f t="shared" ca="1" si="66"/>
        <v>500016.06906507048</v>
      </c>
      <c r="P367" s="8">
        <f t="shared" ca="1" si="67"/>
        <v>472115.74768376909</v>
      </c>
      <c r="Q367" s="8">
        <f t="shared" ca="1" si="68"/>
        <v>95003.53519431554</v>
      </c>
      <c r="R367" s="13">
        <v>150000</v>
      </c>
      <c r="S367" s="13">
        <f ca="1">MIN(IF(AND(MONTH(A367)=5,'ÖNYP kalkulátor'!$IU$6="igen"),(M367+N367)*12/(1+IF('ÖNYP kalkulátor'!$C$16="nem",0,VLOOKUP(YEAR(A367),'ÖNYP kalkulátor'!$E$15:$J$75,4)))*0.2,0),R367)</f>
        <v>150000</v>
      </c>
      <c r="T367" s="4">
        <f ca="1">(1+VLOOKUP(YEAR(A367),'ÖNYP kalkulátor'!$E$15:$F$75,2,FALSE)+VLOOKUP(YEAR(A367),'ÖNYP kalkulátor'!$E$15:$I$75,5,FALSE))^(1/12)-1</f>
        <v>4.0741237836483535E-3</v>
      </c>
      <c r="U367" s="8">
        <f t="shared" ca="1" si="63"/>
        <v>231291.66739579377</v>
      </c>
      <c r="V367" s="14">
        <f t="shared" ca="1" si="64"/>
        <v>57002190.068689205</v>
      </c>
      <c r="W367" s="8">
        <f t="shared" ca="1" si="65"/>
        <v>23159541.165766485</v>
      </c>
    </row>
    <row r="368" spans="1:23" x14ac:dyDescent="0.2">
      <c r="A368" s="6">
        <f t="shared" ca="1" si="69"/>
        <v>56766</v>
      </c>
      <c r="B368" s="12">
        <f t="shared" ca="1" si="70"/>
        <v>6</v>
      </c>
      <c r="C368" s="7">
        <f ca="1">(YEAR(A368)-YEAR('ÖNYP kalkulátor'!$C$10))+(MONTH(CF!A368)-MONTH('ÖNYP kalkulátor'!$C$10)-1)/12</f>
        <v>74</v>
      </c>
      <c r="D368" s="4">
        <f ca="1">(1+VLOOKUP(YEAR(A368),'ÖNYP kalkulátor'!$E$15:$F$75,2,FALSE))^(1/12)-1</f>
        <v>2.4662697723036864E-3</v>
      </c>
      <c r="E368" s="4">
        <f t="shared" ca="1" si="73"/>
        <v>2.4673534090337204</v>
      </c>
      <c r="F368" s="8">
        <f t="shared" ca="1" si="74"/>
        <v>57002190.068689205</v>
      </c>
      <c r="G368" s="8">
        <v>10000</v>
      </c>
      <c r="H368" s="8">
        <v>250000</v>
      </c>
      <c r="I368" s="8">
        <v>500000</v>
      </c>
      <c r="J368" s="8">
        <v>750000</v>
      </c>
      <c r="K368" s="8"/>
      <c r="L368" s="4">
        <f ca="1">+IF('ÖNYP kalkulátor'!$C$16="nem",0,
IF(MONTH(A368)=1,VLOOKUP(YEAR(A368),'ÖNYP kalkulátor'!$E$15:$J$75,4),0))</f>
        <v>0</v>
      </c>
      <c r="M368" s="8">
        <f t="shared" ca="1" si="71"/>
        <v>75002.410359760572</v>
      </c>
      <c r="N368" s="8">
        <f t="shared" ca="1" si="72"/>
        <v>25000.803453253528</v>
      </c>
      <c r="O368" s="8">
        <f t="shared" ca="1" si="66"/>
        <v>600019.28287808457</v>
      </c>
      <c r="P368" s="8">
        <f t="shared" ca="1" si="67"/>
        <v>570118.89722052286</v>
      </c>
      <c r="Q368" s="8">
        <f t="shared" ca="1" si="68"/>
        <v>98003.149536753772</v>
      </c>
      <c r="R368" s="13">
        <v>150000</v>
      </c>
      <c r="S368" s="13">
        <f ca="1">MIN(IF(AND(MONTH(A368)=5,'ÖNYP kalkulátor'!$IU$6="igen"),(M368+N368)*12/(1+IF('ÖNYP kalkulátor'!$C$16="nem",0,VLOOKUP(YEAR(A368),'ÖNYP kalkulátor'!$E$15:$J$75,4)))*0.2,0),R368)</f>
        <v>0</v>
      </c>
      <c r="T368" s="4">
        <f ca="1">(1+VLOOKUP(YEAR(A368),'ÖNYP kalkulátor'!$E$15:$F$75,2,FALSE)+VLOOKUP(YEAR(A368),'ÖNYP kalkulátor'!$E$15:$I$75,5,FALSE))^(1/12)-1</f>
        <v>4.0741237836483535E-3</v>
      </c>
      <c r="U368" s="8">
        <f t="shared" ca="1" si="63"/>
        <v>232633.25524129078</v>
      </c>
      <c r="V368" s="14">
        <f t="shared" ca="1" si="64"/>
        <v>57332826.473467246</v>
      </c>
      <c r="W368" s="8">
        <f t="shared" ca="1" si="65"/>
        <v>23236568.48814385</v>
      </c>
    </row>
    <row r="369" spans="1:23" x14ac:dyDescent="0.2">
      <c r="A369" s="6">
        <f t="shared" ca="1" si="69"/>
        <v>56796</v>
      </c>
      <c r="B369" s="12">
        <f t="shared" ca="1" si="70"/>
        <v>7</v>
      </c>
      <c r="C369" s="7">
        <f ca="1">(YEAR(A369)-YEAR('ÖNYP kalkulátor'!$C$10))+(MONTH(CF!A369)-MONTH('ÖNYP kalkulátor'!$C$10)-1)/12</f>
        <v>74.083333333333329</v>
      </c>
      <c r="D369" s="4">
        <f ca="1">(1+VLOOKUP(YEAR(A369),'ÖNYP kalkulátor'!$E$15:$F$75,2,FALSE))^(1/12)-1</f>
        <v>2.4662697723036864E-3</v>
      </c>
      <c r="E369" s="4">
        <f t="shared" ca="1" si="73"/>
        <v>2.4734385681640108</v>
      </c>
      <c r="F369" s="8">
        <f t="shared" ca="1" si="74"/>
        <v>57332826.473467246</v>
      </c>
      <c r="G369" s="8">
        <v>10000</v>
      </c>
      <c r="H369" s="8">
        <v>250000</v>
      </c>
      <c r="I369" s="8">
        <v>500000</v>
      </c>
      <c r="J369" s="8">
        <v>750000</v>
      </c>
      <c r="K369" s="8"/>
      <c r="L369" s="4">
        <f ca="1">+IF('ÖNYP kalkulátor'!$C$16="nem",0,
IF(MONTH(A369)=1,VLOOKUP(YEAR(A369),'ÖNYP kalkulátor'!$E$15:$J$75,4),0))</f>
        <v>0</v>
      </c>
      <c r="M369" s="8">
        <f t="shared" ca="1" si="71"/>
        <v>75002.410359760572</v>
      </c>
      <c r="N369" s="8">
        <f t="shared" ca="1" si="72"/>
        <v>25000.803453253528</v>
      </c>
      <c r="O369" s="8">
        <f t="shared" ca="1" si="66"/>
        <v>700022.49669109867</v>
      </c>
      <c r="P369" s="8">
        <f t="shared" ca="1" si="67"/>
        <v>668122.04675727664</v>
      </c>
      <c r="Q369" s="8">
        <f t="shared" ca="1" si="68"/>
        <v>98003.149536753772</v>
      </c>
      <c r="R369" s="13">
        <v>150000</v>
      </c>
      <c r="S369" s="13">
        <f ca="1">MIN(IF(AND(MONTH(A369)=5,'ÖNYP kalkulátor'!$IU$6="igen"),(M369+N369)*12/(1+IF('ÖNYP kalkulátor'!$C$16="nem",0,VLOOKUP(YEAR(A369),'ÖNYP kalkulátor'!$E$15:$J$75,4)))*0.2,0),R369)</f>
        <v>0</v>
      </c>
      <c r="T369" s="4">
        <f ca="1">(1+VLOOKUP(YEAR(A369),'ÖNYP kalkulátor'!$E$15:$F$75,2,FALSE)+VLOOKUP(YEAR(A369),'ÖNYP kalkulátor'!$E$15:$I$75,5,FALSE))^(1/12)-1</f>
        <v>4.0741237836483535E-3</v>
      </c>
      <c r="U369" s="8">
        <f t="shared" ca="1" si="63"/>
        <v>233980.30888173697</v>
      </c>
      <c r="V369" s="14">
        <f t="shared" ca="1" si="64"/>
        <v>57664809.931885734</v>
      </c>
      <c r="W369" s="8">
        <f t="shared" ca="1" si="65"/>
        <v>23313621.237292055</v>
      </c>
    </row>
    <row r="370" spans="1:23" x14ac:dyDescent="0.2">
      <c r="A370" s="6">
        <f t="shared" ca="1" si="69"/>
        <v>56827</v>
      </c>
      <c r="B370" s="12">
        <f t="shared" ca="1" si="70"/>
        <v>8</v>
      </c>
      <c r="C370" s="7">
        <f ca="1">(YEAR(A370)-YEAR('ÖNYP kalkulátor'!$C$10))+(MONTH(CF!A370)-MONTH('ÖNYP kalkulátor'!$C$10)-1)/12</f>
        <v>74.166666666666671</v>
      </c>
      <c r="D370" s="4">
        <f ca="1">(1+VLOOKUP(YEAR(A370),'ÖNYP kalkulátor'!$E$15:$F$75,2,FALSE))^(1/12)-1</f>
        <v>2.4662697723036864E-3</v>
      </c>
      <c r="E370" s="4">
        <f t="shared" ca="1" si="73"/>
        <v>2.4795387349383238</v>
      </c>
      <c r="F370" s="8">
        <f t="shared" ca="1" si="74"/>
        <v>57664809.931885734</v>
      </c>
      <c r="G370" s="8">
        <v>10000</v>
      </c>
      <c r="H370" s="8">
        <v>250000</v>
      </c>
      <c r="I370" s="8">
        <v>500000</v>
      </c>
      <c r="J370" s="8">
        <v>750000</v>
      </c>
      <c r="K370" s="8"/>
      <c r="L370" s="4">
        <f ca="1">+IF('ÖNYP kalkulátor'!$C$16="nem",0,
IF(MONTH(A370)=1,VLOOKUP(YEAR(A370),'ÖNYP kalkulátor'!$E$15:$J$75,4),0))</f>
        <v>0</v>
      </c>
      <c r="M370" s="8">
        <f t="shared" ca="1" si="71"/>
        <v>75002.410359760572</v>
      </c>
      <c r="N370" s="8">
        <f t="shared" ca="1" si="72"/>
        <v>25000.803453253528</v>
      </c>
      <c r="O370" s="8">
        <f t="shared" ca="1" si="66"/>
        <v>800025.71050411277</v>
      </c>
      <c r="P370" s="8">
        <f t="shared" ca="1" si="67"/>
        <v>766875.58195159223</v>
      </c>
      <c r="Q370" s="8">
        <f t="shared" ca="1" si="68"/>
        <v>98753.535194315598</v>
      </c>
      <c r="R370" s="13">
        <v>150000</v>
      </c>
      <c r="S370" s="13">
        <f ca="1">MIN(IF(AND(MONTH(A370)=5,'ÖNYP kalkulátor'!$IU$6="igen"),(M370+N370)*12/(1+IF('ÖNYP kalkulátor'!$C$16="nem",0,VLOOKUP(YEAR(A370),'ÖNYP kalkulátor'!$E$15:$J$75,4)))*0.2,0),R370)</f>
        <v>0</v>
      </c>
      <c r="T370" s="4">
        <f ca="1">(1+VLOOKUP(YEAR(A370),'ÖNYP kalkulátor'!$E$15:$F$75,2,FALSE)+VLOOKUP(YEAR(A370),'ÖNYP kalkulátor'!$E$15:$I$75,5,FALSE))^(1/12)-1</f>
        <v>4.0741237836483535E-3</v>
      </c>
      <c r="U370" s="8">
        <f t="shared" ca="1" si="63"/>
        <v>235335.90774951197</v>
      </c>
      <c r="V370" s="14">
        <f t="shared" ca="1" si="64"/>
        <v>57998899.374829561</v>
      </c>
      <c r="W370" s="8">
        <f t="shared" ca="1" si="65"/>
        <v>23391003.55948754</v>
      </c>
    </row>
    <row r="371" spans="1:23" x14ac:dyDescent="0.2">
      <c r="A371" s="6">
        <f t="shared" ca="1" si="69"/>
        <v>56858</v>
      </c>
      <c r="B371" s="12">
        <f t="shared" ca="1" si="70"/>
        <v>9</v>
      </c>
      <c r="C371" s="7">
        <f ca="1">(YEAR(A371)-YEAR('ÖNYP kalkulátor'!$C$10))+(MONTH(CF!A371)-MONTH('ÖNYP kalkulátor'!$C$10)-1)/12</f>
        <v>74.25</v>
      </c>
      <c r="D371" s="4">
        <f ca="1">(1+VLOOKUP(YEAR(A371),'ÖNYP kalkulátor'!$E$15:$F$75,2,FALSE))^(1/12)-1</f>
        <v>2.4662697723036864E-3</v>
      </c>
      <c r="E371" s="4">
        <f t="shared" ca="1" si="73"/>
        <v>2.4856539463695584</v>
      </c>
      <c r="F371" s="8">
        <f t="shared" ca="1" si="74"/>
        <v>57998899.374829561</v>
      </c>
      <c r="G371" s="8">
        <v>10000</v>
      </c>
      <c r="H371" s="8">
        <v>250000</v>
      </c>
      <c r="I371" s="8">
        <v>500000</v>
      </c>
      <c r="J371" s="8">
        <v>750000</v>
      </c>
      <c r="K371" s="8"/>
      <c r="L371" s="4">
        <f ca="1">+IF('ÖNYP kalkulátor'!$C$16="nem",0,
IF(MONTH(A371)=1,VLOOKUP(YEAR(A371),'ÖNYP kalkulátor'!$E$15:$J$75,4),0))</f>
        <v>0</v>
      </c>
      <c r="M371" s="8">
        <f t="shared" ca="1" si="71"/>
        <v>75002.410359760572</v>
      </c>
      <c r="N371" s="8">
        <f t="shared" ca="1" si="72"/>
        <v>25000.803453253528</v>
      </c>
      <c r="O371" s="8">
        <f t="shared" ca="1" si="66"/>
        <v>900028.92431712686</v>
      </c>
      <c r="P371" s="8">
        <f t="shared" ca="1" si="67"/>
        <v>866378.77969554125</v>
      </c>
      <c r="Q371" s="8">
        <f t="shared" ca="1" si="68"/>
        <v>99503.197743949015</v>
      </c>
      <c r="R371" s="13">
        <v>150000</v>
      </c>
      <c r="S371" s="13">
        <f ca="1">MIN(IF(AND(MONTH(A371)=5,'ÖNYP kalkulátor'!$IU$6="igen"),(M371+N371)*12/(1+IF('ÖNYP kalkulátor'!$C$16="nem",0,VLOOKUP(YEAR(A371),'ÖNYP kalkulátor'!$E$15:$J$75,4)))*0.2,0),R371)</f>
        <v>0</v>
      </c>
      <c r="T371" s="4">
        <f ca="1">(1+VLOOKUP(YEAR(A371),'ÖNYP kalkulátor'!$E$15:$F$75,2,FALSE)+VLOOKUP(YEAR(A371),'ÖNYP kalkulátor'!$E$15:$I$75,5,FALSE))^(1/12)-1</f>
        <v>4.0741237836483535E-3</v>
      </c>
      <c r="U371" s="8">
        <f t="shared" ca="1" si="63"/>
        <v>236700.08371289843</v>
      </c>
      <c r="V371" s="14">
        <f t="shared" ca="1" si="64"/>
        <v>58335102.656286411</v>
      </c>
      <c r="W371" s="8">
        <f t="shared" ca="1" si="65"/>
        <v>23468714.436894245</v>
      </c>
    </row>
    <row r="372" spans="1:23" x14ac:dyDescent="0.2">
      <c r="A372" s="6">
        <f t="shared" ca="1" si="69"/>
        <v>56888</v>
      </c>
      <c r="B372" s="12">
        <f t="shared" ca="1" si="70"/>
        <v>10</v>
      </c>
      <c r="C372" s="7">
        <f ca="1">(YEAR(A372)-YEAR('ÖNYP kalkulátor'!$C$10))+(MONTH(CF!A372)-MONTH('ÖNYP kalkulátor'!$C$10)-1)/12</f>
        <v>74.333333333333329</v>
      </c>
      <c r="D372" s="4">
        <f ca="1">(1+VLOOKUP(YEAR(A372),'ÖNYP kalkulátor'!$E$15:$F$75,2,FALSE))^(1/12)-1</f>
        <v>2.4662697723036864E-3</v>
      </c>
      <c r="E372" s="4">
        <f t="shared" ca="1" si="73"/>
        <v>2.491784239561897</v>
      </c>
      <c r="F372" s="8">
        <f t="shared" ca="1" si="74"/>
        <v>58335102.656286411</v>
      </c>
      <c r="G372" s="8">
        <v>10000</v>
      </c>
      <c r="H372" s="8">
        <v>250000</v>
      </c>
      <c r="I372" s="8">
        <v>500000</v>
      </c>
      <c r="J372" s="8">
        <v>750000</v>
      </c>
      <c r="K372" s="8"/>
      <c r="L372" s="4">
        <f ca="1">+IF('ÖNYP kalkulátor'!$C$16="nem",0,
IF(MONTH(A372)=1,VLOOKUP(YEAR(A372),'ÖNYP kalkulátor'!$E$15:$J$75,4),0))</f>
        <v>0</v>
      </c>
      <c r="M372" s="8">
        <f t="shared" ca="1" si="71"/>
        <v>75002.410359760572</v>
      </c>
      <c r="N372" s="8">
        <f t="shared" ca="1" si="72"/>
        <v>25000.803453253528</v>
      </c>
      <c r="O372" s="8">
        <f t="shared" ca="1" si="66"/>
        <v>1000032.138130141</v>
      </c>
      <c r="P372" s="8">
        <f t="shared" ca="1" si="67"/>
        <v>965881.97743949026</v>
      </c>
      <c r="Q372" s="8">
        <f t="shared" ca="1" si="68"/>
        <v>99503.197743949015</v>
      </c>
      <c r="R372" s="13">
        <v>150000</v>
      </c>
      <c r="S372" s="13">
        <f ca="1">MIN(IF(AND(MONTH(A372)=5,'ÖNYP kalkulátor'!$IU$6="igen"),(M372+N372)*12/(1+IF('ÖNYP kalkulátor'!$C$16="nem",0,VLOOKUP(YEAR(A372),'ÖNYP kalkulátor'!$E$15:$J$75,4)))*0.2,0),R372)</f>
        <v>0</v>
      </c>
      <c r="T372" s="4">
        <f ca="1">(1+VLOOKUP(YEAR(A372),'ÖNYP kalkulátor'!$E$15:$F$75,2,FALSE)+VLOOKUP(YEAR(A372),'ÖNYP kalkulátor'!$E$15:$I$75,5,FALSE))^(1/12)-1</f>
        <v>4.0741237836483535E-3</v>
      </c>
      <c r="U372" s="8">
        <f t="shared" ca="1" si="63"/>
        <v>238069.8174980224</v>
      </c>
      <c r="V372" s="14">
        <f t="shared" ca="1" si="64"/>
        <v>58672675.671528384</v>
      </c>
      <c r="W372" s="8">
        <f t="shared" ca="1" si="65"/>
        <v>23546451.069071759</v>
      </c>
    </row>
    <row r="373" spans="1:23" x14ac:dyDescent="0.2">
      <c r="A373" s="6">
        <f t="shared" ca="1" si="69"/>
        <v>56919</v>
      </c>
      <c r="B373" s="12">
        <f t="shared" ca="1" si="70"/>
        <v>11</v>
      </c>
      <c r="C373" s="7">
        <f ca="1">(YEAR(A373)-YEAR('ÖNYP kalkulátor'!$C$10))+(MONTH(CF!A373)-MONTH('ÖNYP kalkulátor'!$C$10)-1)/12</f>
        <v>74.416666666666671</v>
      </c>
      <c r="D373" s="4">
        <f ca="1">(1+VLOOKUP(YEAR(A373),'ÖNYP kalkulátor'!$E$15:$F$75,2,FALSE))^(1/12)-1</f>
        <v>2.4662697723036864E-3</v>
      </c>
      <c r="E373" s="4">
        <f t="shared" ca="1" si="73"/>
        <v>2.4979296517110314</v>
      </c>
      <c r="F373" s="8">
        <f t="shared" ca="1" si="74"/>
        <v>58672675.671528384</v>
      </c>
      <c r="G373" s="8">
        <v>10000</v>
      </c>
      <c r="H373" s="8">
        <v>250000</v>
      </c>
      <c r="I373" s="8">
        <v>500000</v>
      </c>
      <c r="J373" s="8">
        <v>750000</v>
      </c>
      <c r="K373" s="8"/>
      <c r="L373" s="4">
        <f ca="1">+IF('ÖNYP kalkulátor'!$C$16="nem",0,
IF(MONTH(A373)=1,VLOOKUP(YEAR(A373),'ÖNYP kalkulátor'!$E$15:$J$75,4),0))</f>
        <v>0</v>
      </c>
      <c r="M373" s="8">
        <f t="shared" ca="1" si="71"/>
        <v>75002.410359760572</v>
      </c>
      <c r="N373" s="8">
        <f t="shared" ca="1" si="72"/>
        <v>25000.803453253528</v>
      </c>
      <c r="O373" s="8">
        <f t="shared" ca="1" si="66"/>
        <v>1100035.3519431551</v>
      </c>
      <c r="P373" s="8">
        <f t="shared" ca="1" si="67"/>
        <v>1065385.1751834392</v>
      </c>
      <c r="Q373" s="8">
        <f t="shared" ca="1" si="68"/>
        <v>99503.197743948898</v>
      </c>
      <c r="R373" s="13">
        <v>150000</v>
      </c>
      <c r="S373" s="13">
        <f ca="1">MIN(IF(AND(MONTH(A373)=5,'ÖNYP kalkulátor'!$IU$6="igen"),(M373+N373)*12/(1+IF('ÖNYP kalkulátor'!$C$16="nem",0,VLOOKUP(YEAR(A373),'ÖNYP kalkulátor'!$E$15:$J$75,4)))*0.2,0),R373)</f>
        <v>0</v>
      </c>
      <c r="T373" s="4">
        <f ca="1">(1+VLOOKUP(YEAR(A373),'ÖNYP kalkulátor'!$E$15:$F$75,2,FALSE)+VLOOKUP(YEAR(A373),'ÖNYP kalkulátor'!$E$15:$I$75,5,FALSE))^(1/12)-1</f>
        <v>4.0741237836483535E-3</v>
      </c>
      <c r="U373" s="8">
        <f t="shared" ca="1" si="63"/>
        <v>239445.13174813762</v>
      </c>
      <c r="V373" s="14">
        <f t="shared" ca="1" si="64"/>
        <v>59011624.001020476</v>
      </c>
      <c r="W373" s="8">
        <f t="shared" ca="1" si="65"/>
        <v>23624213.740606628</v>
      </c>
    </row>
    <row r="374" spans="1:23" x14ac:dyDescent="0.2">
      <c r="A374" s="6">
        <f t="shared" ca="1" si="69"/>
        <v>56949</v>
      </c>
      <c r="B374" s="12">
        <f t="shared" ca="1" si="70"/>
        <v>12</v>
      </c>
      <c r="C374" s="7">
        <f ca="1">(YEAR(A374)-YEAR('ÖNYP kalkulátor'!$C$10))+(MONTH(CF!A374)-MONTH('ÖNYP kalkulátor'!$C$10)-1)/12</f>
        <v>74.5</v>
      </c>
      <c r="D374" s="4">
        <f ca="1">(1+VLOOKUP(YEAR(A374),'ÖNYP kalkulátor'!$E$15:$F$75,2,FALSE))^(1/12)-1</f>
        <v>2.4662697723036864E-3</v>
      </c>
      <c r="E374" s="4">
        <f t="shared" ca="1" si="73"/>
        <v>2.5040902201043873</v>
      </c>
      <c r="F374" s="8">
        <f t="shared" ca="1" si="74"/>
        <v>59011624.001020476</v>
      </c>
      <c r="G374" s="8">
        <v>10000</v>
      </c>
      <c r="H374" s="8">
        <v>250000</v>
      </c>
      <c r="I374" s="8">
        <v>500000</v>
      </c>
      <c r="J374" s="8">
        <v>750000</v>
      </c>
      <c r="K374" s="8"/>
      <c r="L374" s="4">
        <f ca="1">+IF('ÖNYP kalkulátor'!$C$16="nem",0,
IF(MONTH(A374)=1,VLOOKUP(YEAR(A374),'ÖNYP kalkulátor'!$E$15:$J$75,4),0))</f>
        <v>0</v>
      </c>
      <c r="M374" s="8">
        <f t="shared" ca="1" si="71"/>
        <v>75002.410359760572</v>
      </c>
      <c r="N374" s="8">
        <f t="shared" ca="1" si="72"/>
        <v>25000.803453253528</v>
      </c>
      <c r="O374" s="8">
        <f t="shared" ca="1" si="66"/>
        <v>1200038.5657561691</v>
      </c>
      <c r="P374" s="8">
        <f t="shared" ca="1" si="67"/>
        <v>1164888.3729273882</v>
      </c>
      <c r="Q374" s="8">
        <f t="shared" ca="1" si="68"/>
        <v>99503.197743949015</v>
      </c>
      <c r="R374" s="13">
        <v>150000</v>
      </c>
      <c r="S374" s="13">
        <f ca="1">MIN(IF(AND(MONTH(A374)=5,'ÖNYP kalkulátor'!$IU$6="igen"),(M374+N374)*12/(1+IF('ÖNYP kalkulátor'!$C$16="nem",0,VLOOKUP(YEAR(A374),'ÖNYP kalkulátor'!$E$15:$J$75,4)))*0.2,0),R374)</f>
        <v>0</v>
      </c>
      <c r="T374" s="4">
        <f ca="1">(1+VLOOKUP(YEAR(A374),'ÖNYP kalkulátor'!$E$15:$F$75,2,FALSE)+VLOOKUP(YEAR(A374),'ÖNYP kalkulátor'!$E$15:$I$75,5,FALSE))^(1/12)-1</f>
        <v>4.0741237836483535E-3</v>
      </c>
      <c r="U374" s="8">
        <f t="shared" ca="1" si="63"/>
        <v>240826.04919874924</v>
      </c>
      <c r="V374" s="14">
        <f t="shared" ca="1" si="64"/>
        <v>59351953.247963175</v>
      </c>
      <c r="W374" s="8">
        <f t="shared" ca="1" si="65"/>
        <v>23702002.735943351</v>
      </c>
    </row>
    <row r="375" spans="1:23" x14ac:dyDescent="0.2">
      <c r="A375" s="6">
        <f t="shared" ca="1" si="69"/>
        <v>56980</v>
      </c>
      <c r="B375" s="12">
        <f t="shared" ca="1" si="70"/>
        <v>1</v>
      </c>
      <c r="C375" s="7">
        <f ca="1">(YEAR(A375)-YEAR('ÖNYP kalkulátor'!$C$10))+(MONTH(CF!A375)-MONTH('ÖNYP kalkulátor'!$C$10)-1)/12</f>
        <v>74.583333333333329</v>
      </c>
      <c r="D375" s="4">
        <f ca="1">(1+VLOOKUP(YEAR(A375),'ÖNYP kalkulátor'!$E$15:$F$75,2,FALSE))^(1/12)-1</f>
        <v>2.4662697723036864E-3</v>
      </c>
      <c r="E375" s="4">
        <f t="shared" ca="1" si="73"/>
        <v>2.5102659821213522</v>
      </c>
      <c r="F375" s="8">
        <f t="shared" ca="1" si="74"/>
        <v>59351953.247963175</v>
      </c>
      <c r="G375" s="8">
        <v>10000</v>
      </c>
      <c r="H375" s="8">
        <v>250000</v>
      </c>
      <c r="I375" s="8">
        <v>500000</v>
      </c>
      <c r="J375" s="8">
        <v>750000</v>
      </c>
      <c r="K375" s="8"/>
      <c r="L375" s="4">
        <f ca="1">+IF('ÖNYP kalkulátor'!$C$16="nem",0,
IF(MONTH(A375)=1,VLOOKUP(YEAR(A375),'ÖNYP kalkulátor'!$E$15:$J$75,4),0))</f>
        <v>0.03</v>
      </c>
      <c r="M375" s="8">
        <f t="shared" ca="1" si="71"/>
        <v>77252.482670553392</v>
      </c>
      <c r="N375" s="8">
        <f t="shared" ca="1" si="72"/>
        <v>25750.827556851134</v>
      </c>
      <c r="O375" s="8">
        <f t="shared" ca="1" si="66"/>
        <v>103003.31022740452</v>
      </c>
      <c r="P375" s="8">
        <f t="shared" ca="1" si="67"/>
        <v>96423.111613760251</v>
      </c>
      <c r="Q375" s="8">
        <f t="shared" ca="1" si="68"/>
        <v>96423.111613760251</v>
      </c>
      <c r="R375" s="13">
        <v>150000</v>
      </c>
      <c r="S375" s="13">
        <f ca="1">MIN(IF(AND(MONTH(A375)=5,'ÖNYP kalkulátor'!$IU$6="igen"),(M375+N375)*12/(1+IF('ÖNYP kalkulátor'!$C$16="nem",0,VLOOKUP(YEAR(A375),'ÖNYP kalkulátor'!$E$15:$J$75,4)))*0.2,0),R375)</f>
        <v>0</v>
      </c>
      <c r="T375" s="4">
        <f ca="1">(1+VLOOKUP(YEAR(A375),'ÖNYP kalkulátor'!$E$15:$F$75,2,FALSE)+VLOOKUP(YEAR(A375),'ÖNYP kalkulátor'!$E$15:$I$75,5,FALSE))^(1/12)-1</f>
        <v>4.0741237836483535E-3</v>
      </c>
      <c r="U375" s="8">
        <f t="shared" ca="1" si="63"/>
        <v>242200.0440258309</v>
      </c>
      <c r="V375" s="14">
        <f t="shared" ca="1" si="64"/>
        <v>59690576.403602764</v>
      </c>
      <c r="W375" s="8">
        <f t="shared" ca="1" si="65"/>
        <v>23778586.344527524</v>
      </c>
    </row>
    <row r="376" spans="1:23" x14ac:dyDescent="0.2">
      <c r="A376" s="6">
        <f t="shared" ca="1" si="69"/>
        <v>57011</v>
      </c>
      <c r="B376" s="12">
        <f t="shared" ca="1" si="70"/>
        <v>2</v>
      </c>
      <c r="C376" s="7">
        <f ca="1">(YEAR(A376)-YEAR('ÖNYP kalkulátor'!$C$10))+(MONTH(CF!A376)-MONTH('ÖNYP kalkulátor'!$C$10)-1)/12</f>
        <v>74.666666666666671</v>
      </c>
      <c r="D376" s="4">
        <f ca="1">(1+VLOOKUP(YEAR(A376),'ÖNYP kalkulátor'!$E$15:$F$75,2,FALSE))^(1/12)-1</f>
        <v>2.4662697723036864E-3</v>
      </c>
      <c r="E376" s="4">
        <f t="shared" ca="1" si="73"/>
        <v>2.5164569752335004</v>
      </c>
      <c r="F376" s="8">
        <f t="shared" ca="1" si="74"/>
        <v>59690576.403602764</v>
      </c>
      <c r="G376" s="8">
        <v>10000</v>
      </c>
      <c r="H376" s="8">
        <v>250000</v>
      </c>
      <c r="I376" s="8">
        <v>500000</v>
      </c>
      <c r="J376" s="8">
        <v>750000</v>
      </c>
      <c r="K376" s="8"/>
      <c r="L376" s="4">
        <f ca="1">+IF('ÖNYP kalkulátor'!$C$16="nem",0,
IF(MONTH(A376)=1,VLOOKUP(YEAR(A376),'ÖNYP kalkulátor'!$E$15:$J$75,4),0))</f>
        <v>0</v>
      </c>
      <c r="M376" s="8">
        <f t="shared" ca="1" si="71"/>
        <v>77252.482670553392</v>
      </c>
      <c r="N376" s="8">
        <f t="shared" ca="1" si="72"/>
        <v>25750.827556851134</v>
      </c>
      <c r="O376" s="8">
        <f t="shared" ca="1" si="66"/>
        <v>206006.62045480905</v>
      </c>
      <c r="P376" s="8">
        <f t="shared" ca="1" si="67"/>
        <v>193246.2232275205</v>
      </c>
      <c r="Q376" s="8">
        <f t="shared" ca="1" si="68"/>
        <v>96823.111613760251</v>
      </c>
      <c r="R376" s="13">
        <v>150000</v>
      </c>
      <c r="S376" s="13">
        <f ca="1">MIN(IF(AND(MONTH(A376)=5,'ÖNYP kalkulátor'!$IU$6="igen"),(M376+N376)*12/(1+IF('ÖNYP kalkulátor'!$C$16="nem",0,VLOOKUP(YEAR(A376),'ÖNYP kalkulátor'!$E$15:$J$75,4)))*0.2,0),R376)</f>
        <v>0</v>
      </c>
      <c r="T376" s="4">
        <f ca="1">(1+VLOOKUP(YEAR(A376),'ÖNYP kalkulátor'!$E$15:$F$75,2,FALSE)+VLOOKUP(YEAR(A376),'ÖNYP kalkulátor'!$E$15:$I$75,5,FALSE))^(1/12)-1</f>
        <v>4.0741237836483535E-3</v>
      </c>
      <c r="U376" s="8">
        <f t="shared" ca="1" si="63"/>
        <v>243581.26632742968</v>
      </c>
      <c r="V376" s="14">
        <f t="shared" ca="1" si="64"/>
        <v>60030980.781543955</v>
      </c>
      <c r="W376" s="8">
        <f t="shared" ca="1" si="65"/>
        <v>23855357.50158165</v>
      </c>
    </row>
    <row r="377" spans="1:23" x14ac:dyDescent="0.2">
      <c r="A377" s="6">
        <f t="shared" ca="1" si="69"/>
        <v>57040</v>
      </c>
      <c r="B377" s="12">
        <f t="shared" ca="1" si="70"/>
        <v>3</v>
      </c>
      <c r="C377" s="7">
        <f ca="1">(YEAR(A377)-YEAR('ÖNYP kalkulátor'!$C$10))+(MONTH(CF!A377)-MONTH('ÖNYP kalkulátor'!$C$10)-1)/12</f>
        <v>74.75</v>
      </c>
      <c r="D377" s="4">
        <f ca="1">(1+VLOOKUP(YEAR(A377),'ÖNYP kalkulátor'!$E$15:$F$75,2,FALSE))^(1/12)-1</f>
        <v>2.4662697723036864E-3</v>
      </c>
      <c r="E377" s="4">
        <f t="shared" ca="1" si="73"/>
        <v>2.5226632370048216</v>
      </c>
      <c r="F377" s="8">
        <f t="shared" ca="1" si="74"/>
        <v>60030980.781543955</v>
      </c>
      <c r="G377" s="8">
        <v>10000</v>
      </c>
      <c r="H377" s="8">
        <v>250000</v>
      </c>
      <c r="I377" s="8">
        <v>500000</v>
      </c>
      <c r="J377" s="8">
        <v>750000</v>
      </c>
      <c r="K377" s="8"/>
      <c r="L377" s="4">
        <f ca="1">+IF('ÖNYP kalkulátor'!$C$16="nem",0,
IF(MONTH(A377)=1,VLOOKUP(YEAR(A377),'ÖNYP kalkulátor'!$E$15:$J$75,4),0))</f>
        <v>0</v>
      </c>
      <c r="M377" s="8">
        <f t="shared" ca="1" si="71"/>
        <v>77252.482670553392</v>
      </c>
      <c r="N377" s="8">
        <f t="shared" ca="1" si="72"/>
        <v>25750.827556851134</v>
      </c>
      <c r="O377" s="8">
        <f t="shared" ca="1" si="66"/>
        <v>309009.93068221357</v>
      </c>
      <c r="P377" s="8">
        <f t="shared" ca="1" si="67"/>
        <v>290659.43414810288</v>
      </c>
      <c r="Q377" s="8">
        <f t="shared" ca="1" si="68"/>
        <v>97413.21092058238</v>
      </c>
      <c r="R377" s="13">
        <v>150000</v>
      </c>
      <c r="S377" s="13">
        <f ca="1">MIN(IF(AND(MONTH(A377)=5,'ÖNYP kalkulátor'!$IU$6="igen"),(M377+N377)*12/(1+IF('ÖNYP kalkulátor'!$C$16="nem",0,VLOOKUP(YEAR(A377),'ÖNYP kalkulátor'!$E$15:$J$75,4)))*0.2,0),R377)</f>
        <v>0</v>
      </c>
      <c r="T377" s="4">
        <f ca="1">(1+VLOOKUP(YEAR(A377),'ÖNYP kalkulátor'!$E$15:$F$75,2,FALSE)+VLOOKUP(YEAR(A377),'ÖNYP kalkulátor'!$E$15:$I$75,5,FALSE))^(1/12)-1</f>
        <v>4.0741237836483535E-3</v>
      </c>
      <c r="U377" s="8">
        <f t="shared" ca="1" si="63"/>
        <v>244970.52003727853</v>
      </c>
      <c r="V377" s="14">
        <f t="shared" ca="1" si="64"/>
        <v>60373364.512501813</v>
      </c>
      <c r="W377" s="8">
        <f t="shared" ca="1" si="65"/>
        <v>23932391.619653359</v>
      </c>
    </row>
    <row r="378" spans="1:23" x14ac:dyDescent="0.2">
      <c r="A378" s="6">
        <f t="shared" ca="1" si="69"/>
        <v>57071</v>
      </c>
      <c r="B378" s="12">
        <f t="shared" ca="1" si="70"/>
        <v>4</v>
      </c>
      <c r="C378" s="7">
        <f ca="1">(YEAR(A378)-YEAR('ÖNYP kalkulátor'!$C$10))+(MONTH(CF!A378)-MONTH('ÖNYP kalkulátor'!$C$10)-1)/12</f>
        <v>74.833333333333329</v>
      </c>
      <c r="D378" s="4">
        <f ca="1">(1+VLOOKUP(YEAR(A378),'ÖNYP kalkulátor'!$E$15:$F$75,2,FALSE))^(1/12)-1</f>
        <v>2.4662697723036864E-3</v>
      </c>
      <c r="E378" s="4">
        <f t="shared" ca="1" si="73"/>
        <v>2.5288848050919484</v>
      </c>
      <c r="F378" s="8">
        <f t="shared" ca="1" si="74"/>
        <v>60373364.512501813</v>
      </c>
      <c r="G378" s="8">
        <v>10000</v>
      </c>
      <c r="H378" s="8">
        <v>250000</v>
      </c>
      <c r="I378" s="8">
        <v>500000</v>
      </c>
      <c r="J378" s="8">
        <v>750000</v>
      </c>
      <c r="K378" s="8"/>
      <c r="L378" s="4">
        <f ca="1">+IF('ÖNYP kalkulátor'!$C$16="nem",0,
IF(MONTH(A378)=1,VLOOKUP(YEAR(A378),'ÖNYP kalkulátor'!$E$15:$J$75,4),0))</f>
        <v>0</v>
      </c>
      <c r="M378" s="8">
        <f t="shared" ca="1" si="71"/>
        <v>77252.482670553392</v>
      </c>
      <c r="N378" s="8">
        <f t="shared" ca="1" si="72"/>
        <v>25750.827556851134</v>
      </c>
      <c r="O378" s="8">
        <f t="shared" ca="1" si="66"/>
        <v>412013.24090961809</v>
      </c>
      <c r="P378" s="8">
        <f t="shared" ca="1" si="67"/>
        <v>388512.57886413718</v>
      </c>
      <c r="Q378" s="8">
        <f t="shared" ca="1" si="68"/>
        <v>97853.144716034294</v>
      </c>
      <c r="R378" s="13">
        <v>150000</v>
      </c>
      <c r="S378" s="13">
        <f ca="1">MIN(IF(AND(MONTH(A378)=5,'ÖNYP kalkulátor'!$IU$6="igen"),(M378+N378)*12/(1+IF('ÖNYP kalkulátor'!$C$16="nem",0,VLOOKUP(YEAR(A378),'ÖNYP kalkulátor'!$E$15:$J$75,4)))*0.2,0),R378)</f>
        <v>0</v>
      </c>
      <c r="T378" s="4">
        <f ca="1">(1+VLOOKUP(YEAR(A378),'ÖNYP kalkulátor'!$E$15:$F$75,2,FALSE)+VLOOKUP(YEAR(A378),'ÖNYP kalkulátor'!$E$15:$I$75,5,FALSE))^(1/12)-1</f>
        <v>4.0741237836483535E-3</v>
      </c>
      <c r="U378" s="8">
        <f t="shared" ca="1" si="63"/>
        <v>246367.22608344749</v>
      </c>
      <c r="V378" s="14">
        <f t="shared" ca="1" si="64"/>
        <v>60717584.883301295</v>
      </c>
      <c r="W378" s="8">
        <f t="shared" ca="1" si="65"/>
        <v>24009628.576614287</v>
      </c>
    </row>
    <row r="379" spans="1:23" x14ac:dyDescent="0.2">
      <c r="A379" s="6">
        <f t="shared" ca="1" si="69"/>
        <v>57101</v>
      </c>
      <c r="B379" s="12">
        <f t="shared" ca="1" si="70"/>
        <v>5</v>
      </c>
      <c r="C379" s="7">
        <f ca="1">(YEAR(A379)-YEAR('ÖNYP kalkulátor'!$C$10))+(MONTH(CF!A379)-MONTH('ÖNYP kalkulátor'!$C$10)-1)/12</f>
        <v>74.916666666666671</v>
      </c>
      <c r="D379" s="4">
        <f ca="1">(1+VLOOKUP(YEAR(A379),'ÖNYP kalkulátor'!$E$15:$F$75,2,FALSE))^(1/12)-1</f>
        <v>2.4662697723036864E-3</v>
      </c>
      <c r="E379" s="4">
        <f t="shared" ca="1" si="73"/>
        <v>2.5351217172443845</v>
      </c>
      <c r="F379" s="8">
        <f t="shared" ca="1" si="74"/>
        <v>60717584.883301295</v>
      </c>
      <c r="G379" s="8">
        <v>10000</v>
      </c>
      <c r="H379" s="8">
        <v>250000</v>
      </c>
      <c r="I379" s="8">
        <v>500000</v>
      </c>
      <c r="J379" s="8">
        <v>750000</v>
      </c>
      <c r="K379" s="8"/>
      <c r="L379" s="4">
        <f ca="1">+IF('ÖNYP kalkulátor'!$C$16="nem",0,
IF(MONTH(A379)=1,VLOOKUP(YEAR(A379),'ÖNYP kalkulátor'!$E$15:$J$75,4),0))</f>
        <v>0</v>
      </c>
      <c r="M379" s="8">
        <f t="shared" ca="1" si="71"/>
        <v>77252.482670553392</v>
      </c>
      <c r="N379" s="8">
        <f t="shared" ca="1" si="72"/>
        <v>25750.827556851134</v>
      </c>
      <c r="O379" s="8">
        <f t="shared" ca="1" si="66"/>
        <v>515016.55113702262</v>
      </c>
      <c r="P379" s="8">
        <f t="shared" ca="1" si="67"/>
        <v>486816.22011428216</v>
      </c>
      <c r="Q379" s="8">
        <f t="shared" ca="1" si="68"/>
        <v>98303.641250144981</v>
      </c>
      <c r="R379" s="13">
        <v>150000</v>
      </c>
      <c r="S379" s="13">
        <f ca="1">MIN(IF(AND(MONTH(A379)=5,'ÖNYP kalkulátor'!$IU$6="igen"),(M379+N379)*12/(1+IF('ÖNYP kalkulátor'!$C$16="nem",0,VLOOKUP(YEAR(A379),'ÖNYP kalkulátor'!$E$15:$J$75,4)))*0.2,0),R379)</f>
        <v>150000</v>
      </c>
      <c r="T379" s="4">
        <f ca="1">(1+VLOOKUP(YEAR(A379),'ÖNYP kalkulátor'!$E$15:$F$75,2,FALSE)+VLOOKUP(YEAR(A379),'ÖNYP kalkulátor'!$E$15:$I$75,5,FALSE))^(1/12)-1</f>
        <v>4.0741237836483535E-3</v>
      </c>
      <c r="U379" s="8">
        <f t="shared" ca="1" si="63"/>
        <v>248382.57642912926</v>
      </c>
      <c r="V379" s="14">
        <f t="shared" ca="1" si="64"/>
        <v>61214271.100980572</v>
      </c>
      <c r="W379" s="8">
        <f t="shared" ca="1" si="65"/>
        <v>24146482.074051652</v>
      </c>
    </row>
    <row r="380" spans="1:23" x14ac:dyDescent="0.2">
      <c r="A380" s="6">
        <f t="shared" ca="1" si="69"/>
        <v>57132</v>
      </c>
      <c r="B380" s="12">
        <f t="shared" ca="1" si="70"/>
        <v>6</v>
      </c>
      <c r="C380" s="7">
        <f ca="1">(YEAR(A380)-YEAR('ÖNYP kalkulátor'!$C$10))+(MONTH(CF!A380)-MONTH('ÖNYP kalkulátor'!$C$10)-1)/12</f>
        <v>75</v>
      </c>
      <c r="D380" s="4">
        <f ca="1">(1+VLOOKUP(YEAR(A380),'ÖNYP kalkulátor'!$E$15:$F$75,2,FALSE))^(1/12)-1</f>
        <v>2.4662697723036864E-3</v>
      </c>
      <c r="E380" s="4">
        <f t="shared" ca="1" si="73"/>
        <v>2.5413740113047352</v>
      </c>
      <c r="F380" s="8">
        <f t="shared" ca="1" si="74"/>
        <v>61214271.100980572</v>
      </c>
      <c r="G380" s="8">
        <v>10000</v>
      </c>
      <c r="H380" s="8">
        <v>250000</v>
      </c>
      <c r="I380" s="8">
        <v>500000</v>
      </c>
      <c r="J380" s="8">
        <v>750000</v>
      </c>
      <c r="K380" s="8"/>
      <c r="L380" s="4">
        <f ca="1">+IF('ÖNYP kalkulátor'!$C$16="nem",0,
IF(MONTH(A380)=1,VLOOKUP(YEAR(A380),'ÖNYP kalkulátor'!$E$15:$J$75,4),0))</f>
        <v>0</v>
      </c>
      <c r="M380" s="8">
        <f t="shared" ca="1" si="71"/>
        <v>77252.482670553392</v>
      </c>
      <c r="N380" s="8">
        <f t="shared" ca="1" si="72"/>
        <v>25750.827556851134</v>
      </c>
      <c r="O380" s="8">
        <f t="shared" ca="1" si="66"/>
        <v>618019.86136442714</v>
      </c>
      <c r="P380" s="8">
        <f t="shared" ca="1" si="67"/>
        <v>587759.46413713857</v>
      </c>
      <c r="Q380" s="8">
        <f t="shared" ca="1" si="68"/>
        <v>100943.24402285641</v>
      </c>
      <c r="R380" s="13">
        <v>150000</v>
      </c>
      <c r="S380" s="13">
        <f ca="1">MIN(IF(AND(MONTH(A380)=5,'ÖNYP kalkulátor'!$IU$6="igen"),(M380+N380)*12/(1+IF('ÖNYP kalkulátor'!$C$16="nem",0,VLOOKUP(YEAR(A380),'ÖNYP kalkulátor'!$E$15:$J$75,4)))*0.2,0),R380)</f>
        <v>0</v>
      </c>
      <c r="T380" s="4">
        <f ca="1">(1+VLOOKUP(YEAR(A380),'ÖNYP kalkulátor'!$E$15:$F$75,2,FALSE)+VLOOKUP(YEAR(A380),'ÖNYP kalkulátor'!$E$15:$I$75,5,FALSE))^(1/12)-1</f>
        <v>4.0741237836483535E-3</v>
      </c>
      <c r="U380" s="8">
        <f t="shared" ca="1" si="63"/>
        <v>249805.77306247517</v>
      </c>
      <c r="V380" s="14">
        <f t="shared" ca="1" si="64"/>
        <v>61565020.118065901</v>
      </c>
      <c r="W380" s="8">
        <f t="shared" ca="1" si="65"/>
        <v>24225092.349338446</v>
      </c>
    </row>
    <row r="381" spans="1:23" x14ac:dyDescent="0.2">
      <c r="A381" s="6">
        <f t="shared" ca="1" si="69"/>
        <v>57162</v>
      </c>
      <c r="B381" s="12">
        <f t="shared" ca="1" si="70"/>
        <v>7</v>
      </c>
      <c r="C381" s="7">
        <f ca="1">(YEAR(A381)-YEAR('ÖNYP kalkulátor'!$C$10))+(MONTH(CF!A381)-MONTH('ÖNYP kalkulátor'!$C$10)-1)/12</f>
        <v>75.083333333333329</v>
      </c>
      <c r="D381" s="4">
        <f ca="1">(1+VLOOKUP(YEAR(A381),'ÖNYP kalkulátor'!$E$15:$F$75,2,FALSE))^(1/12)-1</f>
        <v>2.4662697723036864E-3</v>
      </c>
      <c r="E381" s="4">
        <f t="shared" ca="1" si="73"/>
        <v>2.5476417252089343</v>
      </c>
      <c r="F381" s="8">
        <f t="shared" ca="1" si="74"/>
        <v>61565020.118065901</v>
      </c>
      <c r="G381" s="8">
        <v>10000</v>
      </c>
      <c r="H381" s="8">
        <v>250000</v>
      </c>
      <c r="I381" s="8">
        <v>500000</v>
      </c>
      <c r="J381" s="8">
        <v>750000</v>
      </c>
      <c r="K381" s="8"/>
      <c r="L381" s="4">
        <f ca="1">+IF('ÖNYP kalkulátor'!$C$16="nem",0,
IF(MONTH(A381)=1,VLOOKUP(YEAR(A381),'ÖNYP kalkulátor'!$E$15:$J$75,4),0))</f>
        <v>0</v>
      </c>
      <c r="M381" s="8">
        <f t="shared" ca="1" si="71"/>
        <v>77252.482670553392</v>
      </c>
      <c r="N381" s="8">
        <f t="shared" ca="1" si="72"/>
        <v>25750.827556851134</v>
      </c>
      <c r="O381" s="8">
        <f t="shared" ca="1" si="66"/>
        <v>721023.1715918316</v>
      </c>
      <c r="P381" s="8">
        <f t="shared" ca="1" si="67"/>
        <v>688702.70815999503</v>
      </c>
      <c r="Q381" s="8">
        <f t="shared" ca="1" si="68"/>
        <v>100943.24402285647</v>
      </c>
      <c r="R381" s="13">
        <v>150000</v>
      </c>
      <c r="S381" s="13">
        <f ca="1">MIN(IF(AND(MONTH(A381)=5,'ÖNYP kalkulátor'!$IU$6="igen"),(M381+N381)*12/(1+IF('ÖNYP kalkulátor'!$C$16="nem",0,VLOOKUP(YEAR(A381),'ÖNYP kalkulátor'!$E$15:$J$75,4)))*0.2,0),R381)</f>
        <v>0</v>
      </c>
      <c r="T381" s="4">
        <f ca="1">(1+VLOOKUP(YEAR(A381),'ÖNYP kalkulátor'!$E$15:$F$75,2,FALSE)+VLOOKUP(YEAR(A381),'ÖNYP kalkulátor'!$E$15:$I$75,5,FALSE))^(1/12)-1</f>
        <v>4.0741237836483535E-3</v>
      </c>
      <c r="U381" s="8">
        <f t="shared" ca="1" si="63"/>
        <v>251234.76797507377</v>
      </c>
      <c r="V381" s="14">
        <f t="shared" ca="1" si="64"/>
        <v>61917198.130063832</v>
      </c>
      <c r="W381" s="8">
        <f t="shared" ca="1" si="65"/>
        <v>24303730.590291675</v>
      </c>
    </row>
    <row r="382" spans="1:23" x14ac:dyDescent="0.2">
      <c r="A382" s="6">
        <f t="shared" ca="1" si="69"/>
        <v>57193</v>
      </c>
      <c r="B382" s="12">
        <f t="shared" ca="1" si="70"/>
        <v>8</v>
      </c>
      <c r="C382" s="7">
        <f ca="1">(YEAR(A382)-YEAR('ÖNYP kalkulátor'!$C$10))+(MONTH(CF!A382)-MONTH('ÖNYP kalkulátor'!$C$10)-1)/12</f>
        <v>75.166666666666671</v>
      </c>
      <c r="D382" s="4">
        <f ca="1">(1+VLOOKUP(YEAR(A382),'ÖNYP kalkulátor'!$E$15:$F$75,2,FALSE))^(1/12)-1</f>
        <v>2.4662697723036864E-3</v>
      </c>
      <c r="E382" s="4">
        <f t="shared" ca="1" si="73"/>
        <v>2.5539248969864765</v>
      </c>
      <c r="F382" s="8">
        <f t="shared" ca="1" si="74"/>
        <v>61917198.130063832</v>
      </c>
      <c r="G382" s="8">
        <v>10000</v>
      </c>
      <c r="H382" s="8">
        <v>250000</v>
      </c>
      <c r="I382" s="8">
        <v>500000</v>
      </c>
      <c r="J382" s="8">
        <v>750000</v>
      </c>
      <c r="K382" s="8"/>
      <c r="L382" s="4">
        <f ca="1">+IF('ÖNYP kalkulátor'!$C$16="nem",0,
IF(MONTH(A382)=1,VLOOKUP(YEAR(A382),'ÖNYP kalkulátor'!$E$15:$J$75,4),0))</f>
        <v>0</v>
      </c>
      <c r="M382" s="8">
        <f t="shared" ca="1" si="71"/>
        <v>77252.482670553392</v>
      </c>
      <c r="N382" s="8">
        <f t="shared" ca="1" si="72"/>
        <v>25750.827556851134</v>
      </c>
      <c r="O382" s="8">
        <f t="shared" ca="1" si="66"/>
        <v>824026.48181923607</v>
      </c>
      <c r="P382" s="8">
        <f t="shared" ca="1" si="67"/>
        <v>790756.34941013984</v>
      </c>
      <c r="Q382" s="8">
        <f t="shared" ca="1" si="68"/>
        <v>102053.64125014481</v>
      </c>
      <c r="R382" s="13">
        <v>150000</v>
      </c>
      <c r="S382" s="13">
        <f ca="1">MIN(IF(AND(MONTH(A382)=5,'ÖNYP kalkulátor'!$IU$6="igen"),(M382+N382)*12/(1+IF('ÖNYP kalkulátor'!$C$16="nem",0,VLOOKUP(YEAR(A382),'ÖNYP kalkulátor'!$E$15:$J$75,4)))*0.2,0),R382)</f>
        <v>0</v>
      </c>
      <c r="T382" s="4">
        <f ca="1">(1+VLOOKUP(YEAR(A382),'ÖNYP kalkulátor'!$E$15:$F$75,2,FALSE)+VLOOKUP(YEAR(A382),'ÖNYP kalkulátor'!$E$15:$I$75,5,FALSE))^(1/12)-1</f>
        <v>4.0741237836483535E-3</v>
      </c>
      <c r="U382" s="8">
        <f t="shared" ca="1" si="63"/>
        <v>252674.10868558555</v>
      </c>
      <c r="V382" s="14">
        <f t="shared" ca="1" si="64"/>
        <v>62271925.879999563</v>
      </c>
      <c r="W382" s="8">
        <f t="shared" ca="1" si="65"/>
        <v>24382833.635193348</v>
      </c>
    </row>
    <row r="383" spans="1:23" x14ac:dyDescent="0.2">
      <c r="A383" s="6">
        <f t="shared" ca="1" si="69"/>
        <v>57224</v>
      </c>
      <c r="B383" s="12">
        <f t="shared" ca="1" si="70"/>
        <v>9</v>
      </c>
      <c r="C383" s="7">
        <f ca="1">(YEAR(A383)-YEAR('ÖNYP kalkulátor'!$C$10))+(MONTH(CF!A383)-MONTH('ÖNYP kalkulátor'!$C$10)-1)/12</f>
        <v>75.25</v>
      </c>
      <c r="D383" s="4">
        <f ca="1">(1+VLOOKUP(YEAR(A383),'ÖNYP kalkulátor'!$E$15:$F$75,2,FALSE))^(1/12)-1</f>
        <v>2.4662697723036864E-3</v>
      </c>
      <c r="E383" s="4">
        <f t="shared" ca="1" si="73"/>
        <v>2.5602235647606482</v>
      </c>
      <c r="F383" s="8">
        <f t="shared" ca="1" si="74"/>
        <v>62271925.879999563</v>
      </c>
      <c r="G383" s="8">
        <v>10000</v>
      </c>
      <c r="H383" s="8">
        <v>250000</v>
      </c>
      <c r="I383" s="8">
        <v>500000</v>
      </c>
      <c r="J383" s="8">
        <v>750000</v>
      </c>
      <c r="K383" s="8"/>
      <c r="L383" s="4">
        <f ca="1">+IF('ÖNYP kalkulátor'!$C$16="nem",0,
IF(MONTH(A383)=1,VLOOKUP(YEAR(A383),'ÖNYP kalkulátor'!$E$15:$J$75,4),0))</f>
        <v>0</v>
      </c>
      <c r="M383" s="8">
        <f t="shared" ca="1" si="71"/>
        <v>77252.482670553392</v>
      </c>
      <c r="N383" s="8">
        <f t="shared" ca="1" si="72"/>
        <v>25750.827556851134</v>
      </c>
      <c r="O383" s="8">
        <f t="shared" ca="1" si="66"/>
        <v>927029.79204664053</v>
      </c>
      <c r="P383" s="8">
        <f t="shared" ca="1" si="67"/>
        <v>893244.64308640733</v>
      </c>
      <c r="Q383" s="8">
        <f t="shared" ca="1" si="68"/>
        <v>102488.29367626749</v>
      </c>
      <c r="R383" s="13">
        <v>150000</v>
      </c>
      <c r="S383" s="13">
        <f ca="1">MIN(IF(AND(MONTH(A383)=5,'ÖNYP kalkulátor'!$IU$6="igen"),(M383+N383)*12/(1+IF('ÖNYP kalkulátor'!$C$16="nem",0,VLOOKUP(YEAR(A383),'ÖNYP kalkulátor'!$E$15:$J$75,4)))*0.2,0),R383)</f>
        <v>0</v>
      </c>
      <c r="T383" s="4">
        <f ca="1">(1+VLOOKUP(YEAR(A383),'ÖNYP kalkulátor'!$E$15:$F$75,2,FALSE)+VLOOKUP(YEAR(A383),'ÖNYP kalkulátor'!$E$15:$I$75,5,FALSE))^(1/12)-1</f>
        <v>4.0741237836483535E-3</v>
      </c>
      <c r="U383" s="8">
        <f t="shared" ca="1" si="63"/>
        <v>254121.08427610566</v>
      </c>
      <c r="V383" s="14">
        <f t="shared" ca="1" si="64"/>
        <v>62628535.25795193</v>
      </c>
      <c r="W383" s="8">
        <f t="shared" ca="1" si="65"/>
        <v>24462135.307237118</v>
      </c>
    </row>
    <row r="384" spans="1:23" x14ac:dyDescent="0.2">
      <c r="A384" s="6">
        <f t="shared" ca="1" si="69"/>
        <v>57254</v>
      </c>
      <c r="B384" s="12">
        <f t="shared" ca="1" si="70"/>
        <v>10</v>
      </c>
      <c r="C384" s="7">
        <f ca="1">(YEAR(A384)-YEAR('ÖNYP kalkulátor'!$C$10))+(MONTH(CF!A384)-MONTH('ÖNYP kalkulátor'!$C$10)-1)/12</f>
        <v>75.333333333333329</v>
      </c>
      <c r="D384" s="4">
        <f ca="1">(1+VLOOKUP(YEAR(A384),'ÖNYP kalkulátor'!$E$15:$F$75,2,FALSE))^(1/12)-1</f>
        <v>2.4662697723036864E-3</v>
      </c>
      <c r="E384" s="4">
        <f t="shared" ca="1" si="73"/>
        <v>2.5665377667487568</v>
      </c>
      <c r="F384" s="8">
        <f t="shared" ca="1" si="74"/>
        <v>62628535.25795193</v>
      </c>
      <c r="G384" s="8">
        <v>10000</v>
      </c>
      <c r="H384" s="8">
        <v>250000</v>
      </c>
      <c r="I384" s="8">
        <v>500000</v>
      </c>
      <c r="J384" s="8">
        <v>750000</v>
      </c>
      <c r="K384" s="8"/>
      <c r="L384" s="4">
        <f ca="1">+IF('ÖNYP kalkulátor'!$C$16="nem",0,
IF(MONTH(A384)=1,VLOOKUP(YEAR(A384),'ÖNYP kalkulátor'!$E$15:$J$75,4),0))</f>
        <v>0</v>
      </c>
      <c r="M384" s="8">
        <f t="shared" ca="1" si="71"/>
        <v>77252.482670553392</v>
      </c>
      <c r="N384" s="8">
        <f t="shared" ca="1" si="72"/>
        <v>25750.827556851134</v>
      </c>
      <c r="O384" s="8">
        <f t="shared" ca="1" si="66"/>
        <v>1030033.102274045</v>
      </c>
      <c r="P384" s="8">
        <f t="shared" ca="1" si="67"/>
        <v>995732.93676267471</v>
      </c>
      <c r="Q384" s="8">
        <f t="shared" ca="1" si="68"/>
        <v>102488.29367626738</v>
      </c>
      <c r="R384" s="13">
        <v>150000</v>
      </c>
      <c r="S384" s="13">
        <f ca="1">MIN(IF(AND(MONTH(A384)=5,'ÖNYP kalkulátor'!$IU$6="igen"),(M384+N384)*12/(1+IF('ÖNYP kalkulátor'!$C$16="nem",0,VLOOKUP(YEAR(A384),'ÖNYP kalkulátor'!$E$15:$J$75,4)))*0.2,0),R384)</f>
        <v>0</v>
      </c>
      <c r="T384" s="4">
        <f ca="1">(1+VLOOKUP(YEAR(A384),'ÖNYP kalkulátor'!$E$15:$F$75,2,FALSE)+VLOOKUP(YEAR(A384),'ÖNYP kalkulátor'!$E$15:$I$75,5,FALSE))^(1/12)-1</f>
        <v>4.0741237836483535E-3</v>
      </c>
      <c r="U384" s="8">
        <f t="shared" ca="1" si="63"/>
        <v>255573.95502429342</v>
      </c>
      <c r="V384" s="14">
        <f t="shared" ca="1" si="64"/>
        <v>62986597.506652489</v>
      </c>
      <c r="W384" s="8">
        <f t="shared" ca="1" si="65"/>
        <v>24541465.285524618</v>
      </c>
    </row>
    <row r="385" spans="1:23" x14ac:dyDescent="0.2">
      <c r="A385" s="6">
        <f t="shared" ca="1" si="69"/>
        <v>57285</v>
      </c>
      <c r="B385" s="12">
        <f t="shared" ca="1" si="70"/>
        <v>11</v>
      </c>
      <c r="C385" s="7">
        <f ca="1">(YEAR(A385)-YEAR('ÖNYP kalkulátor'!$C$10))+(MONTH(CF!A385)-MONTH('ÖNYP kalkulátor'!$C$10)-1)/12</f>
        <v>75.416666666666671</v>
      </c>
      <c r="D385" s="4">
        <f ca="1">(1+VLOOKUP(YEAR(A385),'ÖNYP kalkulátor'!$E$15:$F$75,2,FALSE))^(1/12)-1</f>
        <v>2.4662697723036864E-3</v>
      </c>
      <c r="E385" s="4">
        <f t="shared" ca="1" si="73"/>
        <v>2.5728675412623652</v>
      </c>
      <c r="F385" s="8">
        <f t="shared" ca="1" si="74"/>
        <v>62986597.506652489</v>
      </c>
      <c r="G385" s="8">
        <v>10000</v>
      </c>
      <c r="H385" s="8">
        <v>250000</v>
      </c>
      <c r="I385" s="8">
        <v>500000</v>
      </c>
      <c r="J385" s="8">
        <v>750000</v>
      </c>
      <c r="K385" s="8"/>
      <c r="L385" s="4">
        <f ca="1">+IF('ÖNYP kalkulátor'!$C$16="nem",0,
IF(MONTH(A385)=1,VLOOKUP(YEAR(A385),'ÖNYP kalkulátor'!$E$15:$J$75,4),0))</f>
        <v>0</v>
      </c>
      <c r="M385" s="8">
        <f t="shared" ca="1" si="71"/>
        <v>77252.482670553392</v>
      </c>
      <c r="N385" s="8">
        <f t="shared" ca="1" si="72"/>
        <v>25750.827556851134</v>
      </c>
      <c r="O385" s="8">
        <f t="shared" ca="1" si="66"/>
        <v>1133036.4125014495</v>
      </c>
      <c r="P385" s="8">
        <f t="shared" ca="1" si="67"/>
        <v>1098221.2304389421</v>
      </c>
      <c r="Q385" s="8">
        <f t="shared" ca="1" si="68"/>
        <v>102488.29367626738</v>
      </c>
      <c r="R385" s="13">
        <v>150000</v>
      </c>
      <c r="S385" s="13">
        <f ca="1">MIN(IF(AND(MONTH(A385)=5,'ÖNYP kalkulátor'!$IU$6="igen"),(M385+N385)*12/(1+IF('ÖNYP kalkulátor'!$C$16="nem",0,VLOOKUP(YEAR(A385),'ÖNYP kalkulátor'!$E$15:$J$75,4)))*0.2,0),R385)</f>
        <v>0</v>
      </c>
      <c r="T385" s="4">
        <f ca="1">(1+VLOOKUP(YEAR(A385),'ÖNYP kalkulátor'!$E$15:$F$75,2,FALSE)+VLOOKUP(YEAR(A385),'ÖNYP kalkulátor'!$E$15:$I$75,5,FALSE))^(1/12)-1</f>
        <v>4.0741237836483535E-3</v>
      </c>
      <c r="U385" s="8">
        <f t="shared" ca="1" si="63"/>
        <v>257032.74494775099</v>
      </c>
      <c r="V385" s="14">
        <f t="shared" ca="1" si="64"/>
        <v>63346118.545276508</v>
      </c>
      <c r="W385" s="8">
        <f t="shared" ca="1" si="65"/>
        <v>24620823.858734693</v>
      </c>
    </row>
    <row r="386" spans="1:23" x14ac:dyDescent="0.2">
      <c r="A386" s="6">
        <f t="shared" ca="1" si="69"/>
        <v>57315</v>
      </c>
      <c r="B386" s="12">
        <f t="shared" ca="1" si="70"/>
        <v>12</v>
      </c>
      <c r="C386" s="7">
        <f ca="1">(YEAR(A386)-YEAR('ÖNYP kalkulátor'!$C$10))+(MONTH(CF!A386)-MONTH('ÖNYP kalkulátor'!$C$10)-1)/12</f>
        <v>75.5</v>
      </c>
      <c r="D386" s="4">
        <f ca="1">(1+VLOOKUP(YEAR(A386),'ÖNYP kalkulátor'!$E$15:$F$75,2,FALSE))^(1/12)-1</f>
        <v>2.4662697723036864E-3</v>
      </c>
      <c r="E386" s="4">
        <f t="shared" ca="1" si="73"/>
        <v>2.5792129267075219</v>
      </c>
      <c r="F386" s="8">
        <f t="shared" ca="1" si="74"/>
        <v>63346118.545276508</v>
      </c>
      <c r="G386" s="8">
        <v>10000</v>
      </c>
      <c r="H386" s="8">
        <v>250000</v>
      </c>
      <c r="I386" s="8">
        <v>500000</v>
      </c>
      <c r="J386" s="8">
        <v>750000</v>
      </c>
      <c r="K386" s="8"/>
      <c r="L386" s="4">
        <f ca="1">+IF('ÖNYP kalkulátor'!$C$16="nem",0,
IF(MONTH(A386)=1,VLOOKUP(YEAR(A386),'ÖNYP kalkulátor'!$E$15:$J$75,4),0))</f>
        <v>0</v>
      </c>
      <c r="M386" s="8">
        <f t="shared" ca="1" si="71"/>
        <v>77252.482670553392</v>
      </c>
      <c r="N386" s="8">
        <f t="shared" ca="1" si="72"/>
        <v>25750.827556851134</v>
      </c>
      <c r="O386" s="8">
        <f t="shared" ca="1" si="66"/>
        <v>1236039.722728854</v>
      </c>
      <c r="P386" s="8">
        <f t="shared" ca="1" si="67"/>
        <v>1200709.5241152097</v>
      </c>
      <c r="Q386" s="8">
        <f t="shared" ca="1" si="68"/>
        <v>102488.29367626761</v>
      </c>
      <c r="R386" s="13">
        <v>150000</v>
      </c>
      <c r="S386" s="13">
        <f ca="1">MIN(IF(AND(MONTH(A386)=5,'ÖNYP kalkulátor'!$IU$6="igen"),(M386+N386)*12/(1+IF('ÖNYP kalkulátor'!$C$16="nem",0,VLOOKUP(YEAR(A386),'ÖNYP kalkulátor'!$E$15:$J$75,4)))*0.2,0),R386)</f>
        <v>0</v>
      </c>
      <c r="T386" s="4">
        <f ca="1">(1+VLOOKUP(YEAR(A386),'ÖNYP kalkulátor'!$E$15:$F$75,2,FALSE)+VLOOKUP(YEAR(A386),'ÖNYP kalkulátor'!$E$15:$I$75,5,FALSE))^(1/12)-1</f>
        <v>4.0741237836483535E-3</v>
      </c>
      <c r="U386" s="8">
        <f t="shared" ref="U386:U449" ca="1" si="75">+(F386+Q386+S386)*T386</f>
        <v>258497.47816193107</v>
      </c>
      <c r="V386" s="14">
        <f t="shared" ref="V386:V449" ca="1" si="76">+F386+Q386+S386+U386</f>
        <v>63707104.317114703</v>
      </c>
      <c r="W386" s="8">
        <f t="shared" ref="W386:W449" ca="1" si="77">+V386/E386</f>
        <v>24700211.315410707</v>
      </c>
    </row>
    <row r="387" spans="1:23" x14ac:dyDescent="0.2">
      <c r="A387" s="6">
        <f t="shared" ca="1" si="69"/>
        <v>57346</v>
      </c>
      <c r="B387" s="12">
        <f t="shared" ca="1" si="70"/>
        <v>1</v>
      </c>
      <c r="C387" s="7">
        <f ca="1">(YEAR(A387)-YEAR('ÖNYP kalkulátor'!$C$10))+(MONTH(CF!A387)-MONTH('ÖNYP kalkulátor'!$C$10)-1)/12</f>
        <v>75.583333333333329</v>
      </c>
      <c r="D387" s="4">
        <f ca="1">(1+VLOOKUP(YEAR(A387),'ÖNYP kalkulátor'!$E$15:$F$75,2,FALSE))^(1/12)-1</f>
        <v>2.4662697723036864E-3</v>
      </c>
      <c r="E387" s="4">
        <f t="shared" ca="1" si="73"/>
        <v>2.5855739615849958</v>
      </c>
      <c r="F387" s="8">
        <f t="shared" ca="1" si="74"/>
        <v>63707104.317114703</v>
      </c>
      <c r="G387" s="8">
        <v>10000</v>
      </c>
      <c r="H387" s="8">
        <v>250000</v>
      </c>
      <c r="I387" s="8">
        <v>500000</v>
      </c>
      <c r="J387" s="8">
        <v>750000</v>
      </c>
      <c r="K387" s="8"/>
      <c r="L387" s="4">
        <f ca="1">+IF('ÖNYP kalkulátor'!$C$16="nem",0,
IF(MONTH(A387)=1,VLOOKUP(YEAR(A387),'ÖNYP kalkulátor'!$E$15:$J$75,4),0))</f>
        <v>0.03</v>
      </c>
      <c r="M387" s="8">
        <f t="shared" ca="1" si="71"/>
        <v>79570.057150669993</v>
      </c>
      <c r="N387" s="8">
        <f t="shared" ca="1" si="72"/>
        <v>26523.35238355667</v>
      </c>
      <c r="O387" s="8">
        <f t="shared" ref="O387:O450" ca="1" si="78">IF(YEAR(A387)=YEAR(A386),O386+M387+N387,M387+N387)</f>
        <v>106093.40953422667</v>
      </c>
      <c r="P387" s="8">
        <f t="shared" ref="P387:P450" ca="1" si="79">IF(O387&lt;G387,O387*$G$1,0)
+IF(AND(O387&lt;H387,O387&gt;=G387),G387*$G$1+(O387-G387)*$H$1,0)
+IF(AND(O387&lt;I387,O387&gt;=H387),G387*$G$1+(H387-G387)*$H$1+(O387-H387)*$I$1,0)
+IF(AND(O387&lt;J387,O387&gt;=I387),G387*$G$1+(H387-G387)*$H$1+(I387-H387)*$I$1+(O387-I387)*$J$1,0)
+IF(AND(O387&gt;=J387),G387*$G$1+(H387-G387)*$H$1+(I387-H387)*$I$1+(J387-I387)*$J$1+(O387-J387)*$K$1,0)</f>
        <v>99327.804962173061</v>
      </c>
      <c r="Q387" s="8">
        <f t="shared" ref="Q387:Q450" ca="1" si="80">IF(YEAR(A387)=YEAR(A386),P387-P386,P387)</f>
        <v>99327.804962173061</v>
      </c>
      <c r="R387" s="13">
        <v>150000</v>
      </c>
      <c r="S387" s="13">
        <f ca="1">MIN(IF(AND(MONTH(A387)=5,'ÖNYP kalkulátor'!$IU$6="igen"),(M387+N387)*12/(1+IF('ÖNYP kalkulátor'!$C$16="nem",0,VLOOKUP(YEAR(A387),'ÖNYP kalkulátor'!$E$15:$J$75,4)))*0.2,0),R387)</f>
        <v>0</v>
      </c>
      <c r="T387" s="4">
        <f ca="1">(1+VLOOKUP(YEAR(A387),'ÖNYP kalkulátor'!$E$15:$F$75,2,FALSE)+VLOOKUP(YEAR(A387),'ÖNYP kalkulátor'!$E$15:$I$75,5,FALSE))^(1/12)-1</f>
        <v>4.0741237836483535E-3</v>
      </c>
      <c r="U387" s="8">
        <f t="shared" ca="1" si="75"/>
        <v>259955.30265829767</v>
      </c>
      <c r="V387" s="14">
        <f t="shared" ca="1" si="76"/>
        <v>64066387.424735174</v>
      </c>
      <c r="W387" s="8">
        <f t="shared" ca="1" si="77"/>
        <v>24778400.609148119</v>
      </c>
    </row>
    <row r="388" spans="1:23" x14ac:dyDescent="0.2">
      <c r="A388" s="6">
        <f t="shared" ref="A388:A451" ca="1" si="81">+DATE(YEAR(A387),MONTH(A387)+1,1)</f>
        <v>57377</v>
      </c>
      <c r="B388" s="12">
        <f t="shared" ref="B388:B451" ca="1" si="82">+IF(YEAR(A388)=YEAR(A387),B387+1,1)</f>
        <v>2</v>
      </c>
      <c r="C388" s="7">
        <f ca="1">(YEAR(A388)-YEAR('ÖNYP kalkulátor'!$C$10))+(MONTH(CF!A388)-MONTH('ÖNYP kalkulátor'!$C$10)-1)/12</f>
        <v>75.666666666666671</v>
      </c>
      <c r="D388" s="4">
        <f ca="1">(1+VLOOKUP(YEAR(A388),'ÖNYP kalkulátor'!$E$15:$F$75,2,FALSE))^(1/12)-1</f>
        <v>2.4662697723036864E-3</v>
      </c>
      <c r="E388" s="4">
        <f t="shared" ca="1" si="73"/>
        <v>2.5919506844905085</v>
      </c>
      <c r="F388" s="8">
        <f t="shared" ca="1" si="74"/>
        <v>64066387.424735174</v>
      </c>
      <c r="G388" s="8">
        <v>10000</v>
      </c>
      <c r="H388" s="8">
        <v>250000</v>
      </c>
      <c r="I388" s="8">
        <v>500000</v>
      </c>
      <c r="J388" s="8">
        <v>750000</v>
      </c>
      <c r="K388" s="8"/>
      <c r="L388" s="4">
        <f ca="1">+IF('ÖNYP kalkulátor'!$C$16="nem",0,
IF(MONTH(A388)=1,VLOOKUP(YEAR(A388),'ÖNYP kalkulátor'!$E$15:$J$75,4),0))</f>
        <v>0</v>
      </c>
      <c r="M388" s="8">
        <f t="shared" ref="M388:M451" ca="1" si="83">M387*(1+L388)</f>
        <v>79570.057150669993</v>
      </c>
      <c r="N388" s="8">
        <f t="shared" ref="N388:N451" ca="1" si="84">N387*(1+L388)</f>
        <v>26523.35238355667</v>
      </c>
      <c r="O388" s="8">
        <f t="shared" ca="1" si="78"/>
        <v>212186.81906845333</v>
      </c>
      <c r="P388" s="8">
        <f t="shared" ca="1" si="79"/>
        <v>199055.60992434612</v>
      </c>
      <c r="Q388" s="8">
        <f t="shared" ca="1" si="80"/>
        <v>99727.804962173061</v>
      </c>
      <c r="R388" s="13">
        <v>150000</v>
      </c>
      <c r="S388" s="13">
        <f ca="1">MIN(IF(AND(MONTH(A388)=5,'ÖNYP kalkulátor'!$IU$6="igen"),(M388+N388)*12/(1+IF('ÖNYP kalkulátor'!$C$16="nem",0,VLOOKUP(YEAR(A388),'ÖNYP kalkulátor'!$E$15:$J$75,4)))*0.2,0),R388)</f>
        <v>0</v>
      </c>
      <c r="T388" s="4">
        <f ca="1">(1+VLOOKUP(YEAR(A388),'ÖNYP kalkulátor'!$E$15:$F$75,2,FALSE)+VLOOKUP(YEAR(A388),'ÖNYP kalkulátor'!$E$15:$I$75,5,FALSE))^(1/12)-1</f>
        <v>4.0741237836483535E-3</v>
      </c>
      <c r="U388" s="8">
        <f t="shared" ca="1" si="75"/>
        <v>261420.6961616308</v>
      </c>
      <c r="V388" s="14">
        <f t="shared" ca="1" si="76"/>
        <v>64427535.925858974</v>
      </c>
      <c r="W388" s="8">
        <f t="shared" ca="1" si="77"/>
        <v>24856775.366666857</v>
      </c>
    </row>
    <row r="389" spans="1:23" x14ac:dyDescent="0.2">
      <c r="A389" s="6">
        <f t="shared" ca="1" si="81"/>
        <v>57405</v>
      </c>
      <c r="B389" s="12">
        <f t="shared" ca="1" si="82"/>
        <v>3</v>
      </c>
      <c r="C389" s="7">
        <f ca="1">(YEAR(A389)-YEAR('ÖNYP kalkulátor'!$C$10))+(MONTH(CF!A389)-MONTH('ÖNYP kalkulátor'!$C$10)-1)/12</f>
        <v>75.75</v>
      </c>
      <c r="D389" s="4">
        <f ca="1">(1+VLOOKUP(YEAR(A389),'ÖNYP kalkulátor'!$E$15:$F$75,2,FALSE))^(1/12)-1</f>
        <v>2.4662697723036864E-3</v>
      </c>
      <c r="E389" s="4">
        <f t="shared" ca="1" si="73"/>
        <v>2.5983431341149692</v>
      </c>
      <c r="F389" s="8">
        <f t="shared" ca="1" si="74"/>
        <v>64427535.925858974</v>
      </c>
      <c r="G389" s="8">
        <v>10000</v>
      </c>
      <c r="H389" s="8">
        <v>250000</v>
      </c>
      <c r="I389" s="8">
        <v>500000</v>
      </c>
      <c r="J389" s="8">
        <v>750000</v>
      </c>
      <c r="K389" s="8"/>
      <c r="L389" s="4">
        <f ca="1">+IF('ÖNYP kalkulátor'!$C$16="nem",0,
IF(MONTH(A389)=1,VLOOKUP(YEAR(A389),'ÖNYP kalkulátor'!$E$15:$J$75,4),0))</f>
        <v>0</v>
      </c>
      <c r="M389" s="8">
        <f t="shared" ca="1" si="83"/>
        <v>79570.057150669993</v>
      </c>
      <c r="N389" s="8">
        <f t="shared" ca="1" si="84"/>
        <v>26523.35238355667</v>
      </c>
      <c r="O389" s="8">
        <f t="shared" ca="1" si="78"/>
        <v>318280.22860267997</v>
      </c>
      <c r="P389" s="8">
        <f t="shared" ca="1" si="79"/>
        <v>299466.21717254596</v>
      </c>
      <c r="Q389" s="8">
        <f t="shared" ca="1" si="80"/>
        <v>100410.60724819984</v>
      </c>
      <c r="R389" s="13">
        <v>150000</v>
      </c>
      <c r="S389" s="13">
        <f ca="1">MIN(IF(AND(MONTH(A389)=5,'ÖNYP kalkulátor'!$IU$6="igen"),(M389+N389)*12/(1+IF('ÖNYP kalkulátor'!$C$16="nem",0,VLOOKUP(YEAR(A389),'ÖNYP kalkulátor'!$E$15:$J$75,4)))*0.2,0),R389)</f>
        <v>0</v>
      </c>
      <c r="T389" s="4">
        <f ca="1">(1+VLOOKUP(YEAR(A389),'ÖNYP kalkulátor'!$E$15:$F$75,2,FALSE)+VLOOKUP(YEAR(A389),'ÖNYP kalkulátor'!$E$15:$I$75,5,FALSE))^(1/12)-1</f>
        <v>4.0741237836483535E-3</v>
      </c>
      <c r="U389" s="8">
        <f t="shared" ca="1" si="75"/>
        <v>262894.84168052126</v>
      </c>
      <c r="V389" s="14">
        <f t="shared" ca="1" si="76"/>
        <v>64790841.374787696</v>
      </c>
      <c r="W389" s="8">
        <f t="shared" ca="1" si="77"/>
        <v>24935444.63936105</v>
      </c>
    </row>
    <row r="390" spans="1:23" x14ac:dyDescent="0.2">
      <c r="A390" s="6">
        <f t="shared" ca="1" si="81"/>
        <v>57436</v>
      </c>
      <c r="B390" s="12">
        <f t="shared" ca="1" si="82"/>
        <v>4</v>
      </c>
      <c r="C390" s="7">
        <f ca="1">(YEAR(A390)-YEAR('ÖNYP kalkulátor'!$C$10))+(MONTH(CF!A390)-MONTH('ÖNYP kalkulátor'!$C$10)-1)/12</f>
        <v>75.833333333333329</v>
      </c>
      <c r="D390" s="4">
        <f ca="1">(1+VLOOKUP(YEAR(A390),'ÖNYP kalkulátor'!$E$15:$F$75,2,FALSE))^(1/12)-1</f>
        <v>2.4662697723036864E-3</v>
      </c>
      <c r="E390" s="4">
        <f t="shared" ca="1" si="73"/>
        <v>2.6047513492447099</v>
      </c>
      <c r="F390" s="8">
        <f t="shared" ca="1" si="74"/>
        <v>64790841.374787696</v>
      </c>
      <c r="G390" s="8">
        <v>10000</v>
      </c>
      <c r="H390" s="8">
        <v>250000</v>
      </c>
      <c r="I390" s="8">
        <v>500000</v>
      </c>
      <c r="J390" s="8">
        <v>750000</v>
      </c>
      <c r="K390" s="8"/>
      <c r="L390" s="4">
        <f ca="1">+IF('ÖNYP kalkulátor'!$C$16="nem",0,
IF(MONTH(A390)=1,VLOOKUP(YEAR(A390),'ÖNYP kalkulátor'!$E$15:$J$75,4),0))</f>
        <v>0</v>
      </c>
      <c r="M390" s="8">
        <f t="shared" ca="1" si="83"/>
        <v>79570.057150669993</v>
      </c>
      <c r="N390" s="8">
        <f t="shared" ca="1" si="84"/>
        <v>26523.35238355667</v>
      </c>
      <c r="O390" s="8">
        <f t="shared" ca="1" si="78"/>
        <v>424373.63813690661</v>
      </c>
      <c r="P390" s="8">
        <f t="shared" ca="1" si="79"/>
        <v>400254.95623006125</v>
      </c>
      <c r="Q390" s="8">
        <f t="shared" ca="1" si="80"/>
        <v>100788.73905751528</v>
      </c>
      <c r="R390" s="13">
        <v>150000</v>
      </c>
      <c r="S390" s="13">
        <f ca="1">MIN(IF(AND(MONTH(A390)=5,'ÖNYP kalkulátor'!$IU$6="igen"),(M390+N390)*12/(1+IF('ÖNYP kalkulátor'!$C$16="nem",0,VLOOKUP(YEAR(A390),'ÖNYP kalkulátor'!$E$15:$J$75,4)))*0.2,0),R390)</f>
        <v>0</v>
      </c>
      <c r="T390" s="4">
        <f ca="1">(1+VLOOKUP(YEAR(A390),'ÖNYP kalkulátor'!$E$15:$F$75,2,FALSE)+VLOOKUP(YEAR(A390),'ÖNYP kalkulátor'!$E$15:$I$75,5,FALSE))^(1/12)-1</f>
        <v>4.0741237836483535E-3</v>
      </c>
      <c r="U390" s="8">
        <f t="shared" ca="1" si="75"/>
        <v>264376.53360652848</v>
      </c>
      <c r="V390" s="14">
        <f t="shared" ca="1" si="76"/>
        <v>65156006.647451743</v>
      </c>
      <c r="W390" s="8">
        <f t="shared" ca="1" si="77"/>
        <v>25014290.391420584</v>
      </c>
    </row>
    <row r="391" spans="1:23" x14ac:dyDescent="0.2">
      <c r="A391" s="6">
        <f t="shared" ca="1" si="81"/>
        <v>57466</v>
      </c>
      <c r="B391" s="12">
        <f t="shared" ca="1" si="82"/>
        <v>5</v>
      </c>
      <c r="C391" s="7">
        <f ca="1">(YEAR(A391)-YEAR('ÖNYP kalkulátor'!$C$10))+(MONTH(CF!A391)-MONTH('ÖNYP kalkulátor'!$C$10)-1)/12</f>
        <v>75.916666666666671</v>
      </c>
      <c r="D391" s="4">
        <f ca="1">(1+VLOOKUP(YEAR(A391),'ÖNYP kalkulátor'!$E$15:$F$75,2,FALSE))^(1/12)-1</f>
        <v>2.4662697723036864E-3</v>
      </c>
      <c r="E391" s="4">
        <f t="shared" ca="1" si="73"/>
        <v>2.6111753687617192</v>
      </c>
      <c r="F391" s="8">
        <f t="shared" ca="1" si="74"/>
        <v>65156006.647451743</v>
      </c>
      <c r="G391" s="8">
        <v>10000</v>
      </c>
      <c r="H391" s="8">
        <v>250000</v>
      </c>
      <c r="I391" s="8">
        <v>500000</v>
      </c>
      <c r="J391" s="8">
        <v>750000</v>
      </c>
      <c r="K391" s="8"/>
      <c r="L391" s="4">
        <f ca="1">+IF('ÖNYP kalkulátor'!$C$16="nem",0,
IF(MONTH(A391)=1,VLOOKUP(YEAR(A391),'ÖNYP kalkulátor'!$E$15:$J$75,4),0))</f>
        <v>0</v>
      </c>
      <c r="M391" s="8">
        <f t="shared" ca="1" si="83"/>
        <v>79570.057150669993</v>
      </c>
      <c r="N391" s="8">
        <f t="shared" ca="1" si="84"/>
        <v>26523.35238355667</v>
      </c>
      <c r="O391" s="8">
        <f t="shared" ca="1" si="78"/>
        <v>530467.0476711333</v>
      </c>
      <c r="P391" s="8">
        <f t="shared" ca="1" si="79"/>
        <v>501957.70671771065</v>
      </c>
      <c r="Q391" s="8">
        <f t="shared" ca="1" si="80"/>
        <v>101702.75048764941</v>
      </c>
      <c r="R391" s="13">
        <v>150000</v>
      </c>
      <c r="S391" s="13">
        <f ca="1">MIN(IF(AND(MONTH(A391)=5,'ÖNYP kalkulátor'!$IU$6="igen"),(M391+N391)*12/(1+IF('ÖNYP kalkulátor'!$C$16="nem",0,VLOOKUP(YEAR(A391),'ÖNYP kalkulátor'!$E$15:$J$75,4)))*0.2,0),R391)</f>
        <v>150000</v>
      </c>
      <c r="T391" s="4">
        <f ca="1">(1+VLOOKUP(YEAR(A391),'ÖNYP kalkulátor'!$E$15:$F$75,2,FALSE)+VLOOKUP(YEAR(A391),'ÖNYP kalkulátor'!$E$15:$I$75,5,FALSE))^(1/12)-1</f>
        <v>4.0741237836483535E-3</v>
      </c>
      <c r="U391" s="8">
        <f t="shared" ca="1" si="75"/>
        <v>266479.10449210479</v>
      </c>
      <c r="V391" s="14">
        <f t="shared" ca="1" si="76"/>
        <v>65674188.502431497</v>
      </c>
      <c r="W391" s="8">
        <f t="shared" ca="1" si="77"/>
        <v>25151197.919569738</v>
      </c>
    </row>
    <row r="392" spans="1:23" x14ac:dyDescent="0.2">
      <c r="A392" s="6">
        <f t="shared" ca="1" si="81"/>
        <v>57497</v>
      </c>
      <c r="B392" s="12">
        <f t="shared" ca="1" si="82"/>
        <v>6</v>
      </c>
      <c r="C392" s="7">
        <f ca="1">(YEAR(A392)-YEAR('ÖNYP kalkulátor'!$C$10))+(MONTH(CF!A392)-MONTH('ÖNYP kalkulátor'!$C$10)-1)/12</f>
        <v>76</v>
      </c>
      <c r="D392" s="4">
        <f ca="1">(1+VLOOKUP(YEAR(A392),'ÖNYP kalkulátor'!$E$15:$F$75,2,FALSE))^(1/12)-1</f>
        <v>2.4662697723036864E-3</v>
      </c>
      <c r="E392" s="4">
        <f t="shared" ca="1" si="73"/>
        <v>2.6176152316438803</v>
      </c>
      <c r="F392" s="8">
        <f t="shared" ca="1" si="74"/>
        <v>65674188.502431497</v>
      </c>
      <c r="G392" s="8">
        <v>10000</v>
      </c>
      <c r="H392" s="8">
        <v>250000</v>
      </c>
      <c r="I392" s="8">
        <v>500000</v>
      </c>
      <c r="J392" s="8">
        <v>750000</v>
      </c>
      <c r="K392" s="8"/>
      <c r="L392" s="4">
        <f ca="1">+IF('ÖNYP kalkulátor'!$C$16="nem",0,
IF(MONTH(A392)=1,VLOOKUP(YEAR(A392),'ÖNYP kalkulátor'!$E$15:$J$75,4),0))</f>
        <v>0</v>
      </c>
      <c r="M392" s="8">
        <f t="shared" ca="1" si="83"/>
        <v>79570.057150669993</v>
      </c>
      <c r="N392" s="8">
        <f t="shared" ca="1" si="84"/>
        <v>26523.35238355667</v>
      </c>
      <c r="O392" s="8">
        <f t="shared" ca="1" si="78"/>
        <v>636560.45720535994</v>
      </c>
      <c r="P392" s="8">
        <f t="shared" ca="1" si="79"/>
        <v>605929.24806125276</v>
      </c>
      <c r="Q392" s="8">
        <f t="shared" ca="1" si="80"/>
        <v>103971.54134354211</v>
      </c>
      <c r="R392" s="13">
        <v>150000</v>
      </c>
      <c r="S392" s="13">
        <f ca="1">MIN(IF(AND(MONTH(A392)=5,'ÖNYP kalkulátor'!$IU$6="igen"),(M392+N392)*12/(1+IF('ÖNYP kalkulátor'!$C$16="nem",0,VLOOKUP(YEAR(A392),'ÖNYP kalkulátor'!$E$15:$J$75,4)))*0.2,0),R392)</f>
        <v>0</v>
      </c>
      <c r="T392" s="4">
        <f ca="1">(1+VLOOKUP(YEAR(A392),'ÖNYP kalkulátor'!$E$15:$F$75,2,FALSE)+VLOOKUP(YEAR(A392),'ÖNYP kalkulátor'!$E$15:$I$75,5,FALSE))^(1/12)-1</f>
        <v>4.0741237836483535E-3</v>
      </c>
      <c r="U392" s="8">
        <f t="shared" ca="1" si="75"/>
        <v>267988.36627897172</v>
      </c>
      <c r="V392" s="14">
        <f t="shared" ca="1" si="76"/>
        <v>66046148.410054006</v>
      </c>
      <c r="W392" s="8">
        <f t="shared" ca="1" si="77"/>
        <v>25231419.65695874</v>
      </c>
    </row>
    <row r="393" spans="1:23" x14ac:dyDescent="0.2">
      <c r="A393" s="6">
        <f t="shared" ca="1" si="81"/>
        <v>57527</v>
      </c>
      <c r="B393" s="12">
        <f t="shared" ca="1" si="82"/>
        <v>7</v>
      </c>
      <c r="C393" s="7">
        <f ca="1">(YEAR(A393)-YEAR('ÖNYP kalkulátor'!$C$10))+(MONTH(CF!A393)-MONTH('ÖNYP kalkulátor'!$C$10)-1)/12</f>
        <v>76.083333333333329</v>
      </c>
      <c r="D393" s="4">
        <f ca="1">(1+VLOOKUP(YEAR(A393),'ÖNYP kalkulátor'!$E$15:$F$75,2,FALSE))^(1/12)-1</f>
        <v>2.4662697723036864E-3</v>
      </c>
      <c r="E393" s="4">
        <f t="shared" ca="1" si="73"/>
        <v>2.6240709769652053</v>
      </c>
      <c r="F393" s="8">
        <f t="shared" ca="1" si="74"/>
        <v>66046148.410054006</v>
      </c>
      <c r="G393" s="8">
        <v>10000</v>
      </c>
      <c r="H393" s="8">
        <v>250000</v>
      </c>
      <c r="I393" s="8">
        <v>500000</v>
      </c>
      <c r="J393" s="8">
        <v>750000</v>
      </c>
      <c r="K393" s="8"/>
      <c r="L393" s="4">
        <f ca="1">+IF('ÖNYP kalkulátor'!$C$16="nem",0,
IF(MONTH(A393)=1,VLOOKUP(YEAR(A393),'ÖNYP kalkulátor'!$E$15:$J$75,4),0))</f>
        <v>0</v>
      </c>
      <c r="M393" s="8">
        <f t="shared" ca="1" si="83"/>
        <v>79570.057150669993</v>
      </c>
      <c r="N393" s="8">
        <f t="shared" ca="1" si="84"/>
        <v>26523.35238355667</v>
      </c>
      <c r="O393" s="8">
        <f t="shared" ca="1" si="78"/>
        <v>742653.86673958658</v>
      </c>
      <c r="P393" s="8">
        <f t="shared" ca="1" si="79"/>
        <v>709900.78940479481</v>
      </c>
      <c r="Q393" s="8">
        <f t="shared" ca="1" si="80"/>
        <v>103971.54134354205</v>
      </c>
      <c r="R393" s="13">
        <v>150000</v>
      </c>
      <c r="S393" s="13">
        <f ca="1">MIN(IF(AND(MONTH(A393)=5,'ÖNYP kalkulátor'!$IU$6="igen"),(M393+N393)*12/(1+IF('ÖNYP kalkulátor'!$C$16="nem",0,VLOOKUP(YEAR(A393),'ÖNYP kalkulátor'!$E$15:$J$75,4)))*0.2,0),R393)</f>
        <v>0</v>
      </c>
      <c r="T393" s="4">
        <f ca="1">(1+VLOOKUP(YEAR(A393),'ÖNYP kalkulátor'!$E$15:$F$75,2,FALSE)+VLOOKUP(YEAR(A393),'ÖNYP kalkulátor'!$E$15:$I$75,5,FALSE))^(1/12)-1</f>
        <v>4.0741237836483535E-3</v>
      </c>
      <c r="U393" s="8">
        <f t="shared" ca="1" si="75"/>
        <v>269503.77698518021</v>
      </c>
      <c r="V393" s="14">
        <f t="shared" ca="1" si="76"/>
        <v>66419623.728382729</v>
      </c>
      <c r="W393" s="8">
        <f t="shared" ca="1" si="77"/>
        <v>25311671.944635604</v>
      </c>
    </row>
    <row r="394" spans="1:23" x14ac:dyDescent="0.2">
      <c r="A394" s="6">
        <f t="shared" ca="1" si="81"/>
        <v>57558</v>
      </c>
      <c r="B394" s="12">
        <f t="shared" ca="1" si="82"/>
        <v>8</v>
      </c>
      <c r="C394" s="7">
        <f ca="1">(YEAR(A394)-YEAR('ÖNYP kalkulátor'!$C$10))+(MONTH(CF!A394)-MONTH('ÖNYP kalkulátor'!$C$10)-1)/12</f>
        <v>76.166666666666671</v>
      </c>
      <c r="D394" s="4">
        <f ca="1">(1+VLOOKUP(YEAR(A394),'ÖNYP kalkulátor'!$E$15:$F$75,2,FALSE))^(1/12)-1</f>
        <v>2.4662697723036864E-3</v>
      </c>
      <c r="E394" s="4">
        <f t="shared" ca="1" si="73"/>
        <v>2.630542643896074</v>
      </c>
      <c r="F394" s="8">
        <f t="shared" ca="1" si="74"/>
        <v>66419623.728382729</v>
      </c>
      <c r="G394" s="8">
        <v>10000</v>
      </c>
      <c r="H394" s="8">
        <v>250000</v>
      </c>
      <c r="I394" s="8">
        <v>500000</v>
      </c>
      <c r="J394" s="8">
        <v>750000</v>
      </c>
      <c r="K394" s="8"/>
      <c r="L394" s="4">
        <f ca="1">+IF('ÖNYP kalkulátor'!$C$16="nem",0,
IF(MONTH(A394)=1,VLOOKUP(YEAR(A394),'ÖNYP kalkulátor'!$E$15:$J$75,4),0))</f>
        <v>0</v>
      </c>
      <c r="M394" s="8">
        <f t="shared" ca="1" si="83"/>
        <v>79570.057150669993</v>
      </c>
      <c r="N394" s="8">
        <f t="shared" ca="1" si="84"/>
        <v>26523.35238355667</v>
      </c>
      <c r="O394" s="8">
        <f t="shared" ca="1" si="78"/>
        <v>848747.27627381322</v>
      </c>
      <c r="P394" s="8">
        <f t="shared" ca="1" si="79"/>
        <v>815353.53989244415</v>
      </c>
      <c r="Q394" s="8">
        <f t="shared" ca="1" si="80"/>
        <v>105452.75048764935</v>
      </c>
      <c r="R394" s="13">
        <v>150000</v>
      </c>
      <c r="S394" s="13">
        <f ca="1">MIN(IF(AND(MONTH(A394)=5,'ÖNYP kalkulátor'!$IU$6="igen"),(M394+N394)*12/(1+IF('ÖNYP kalkulátor'!$C$16="nem",0,VLOOKUP(YEAR(A394),'ÖNYP kalkulátor'!$E$15:$J$75,4)))*0.2,0),R394)</f>
        <v>0</v>
      </c>
      <c r="T394" s="4">
        <f ca="1">(1+VLOOKUP(YEAR(A394),'ÖNYP kalkulátor'!$E$15:$F$75,2,FALSE)+VLOOKUP(YEAR(A394),'ÖNYP kalkulátor'!$E$15:$I$75,5,FALSE))^(1/12)-1</f>
        <v>4.0741237836483535E-3</v>
      </c>
      <c r="U394" s="8">
        <f t="shared" ca="1" si="75"/>
        <v>271031.39629159146</v>
      </c>
      <c r="V394" s="14">
        <f t="shared" ca="1" si="76"/>
        <v>66796107.875161968</v>
      </c>
      <c r="W394" s="8">
        <f t="shared" ca="1" si="77"/>
        <v>25392520.448264178</v>
      </c>
    </row>
    <row r="395" spans="1:23" x14ac:dyDescent="0.2">
      <c r="A395" s="6">
        <f t="shared" ca="1" si="81"/>
        <v>57589</v>
      </c>
      <c r="B395" s="12">
        <f t="shared" ca="1" si="82"/>
        <v>9</v>
      </c>
      <c r="C395" s="7">
        <f ca="1">(YEAR(A395)-YEAR('ÖNYP kalkulátor'!$C$10))+(MONTH(CF!A395)-MONTH('ÖNYP kalkulátor'!$C$10)-1)/12</f>
        <v>76.25</v>
      </c>
      <c r="D395" s="4">
        <f ca="1">(1+VLOOKUP(YEAR(A395),'ÖNYP kalkulátor'!$E$15:$F$75,2,FALSE))^(1/12)-1</f>
        <v>2.4662697723036864E-3</v>
      </c>
      <c r="E395" s="4">
        <f t="shared" ca="1" si="73"/>
        <v>2.6370302717034706</v>
      </c>
      <c r="F395" s="8">
        <f t="shared" ca="1" si="74"/>
        <v>66796107.875161968</v>
      </c>
      <c r="G395" s="8">
        <v>10000</v>
      </c>
      <c r="H395" s="8">
        <v>250000</v>
      </c>
      <c r="I395" s="8">
        <v>500000</v>
      </c>
      <c r="J395" s="8">
        <v>750000</v>
      </c>
      <c r="K395" s="8"/>
      <c r="L395" s="4">
        <f ca="1">+IF('ÖNYP kalkulátor'!$C$16="nem",0,
IF(MONTH(A395)=1,VLOOKUP(YEAR(A395),'ÖNYP kalkulátor'!$E$15:$J$75,4),0))</f>
        <v>0</v>
      </c>
      <c r="M395" s="8">
        <f t="shared" ca="1" si="83"/>
        <v>79570.057150669993</v>
      </c>
      <c r="N395" s="8">
        <f t="shared" ca="1" si="84"/>
        <v>26523.35238355667</v>
      </c>
      <c r="O395" s="8">
        <f t="shared" ca="1" si="78"/>
        <v>954840.68580803985</v>
      </c>
      <c r="P395" s="8">
        <f t="shared" ca="1" si="79"/>
        <v>920916.4823789997</v>
      </c>
      <c r="Q395" s="8">
        <f t="shared" ca="1" si="80"/>
        <v>105562.94248655555</v>
      </c>
      <c r="R395" s="13">
        <v>150000</v>
      </c>
      <c r="S395" s="13">
        <f ca="1">MIN(IF(AND(MONTH(A395)=5,'ÖNYP kalkulátor'!$IU$6="igen"),(M395+N395)*12/(1+IF('ÖNYP kalkulátor'!$C$16="nem",0,VLOOKUP(YEAR(A395),'ÖNYP kalkulátor'!$E$15:$J$75,4)))*0.2,0),R395)</f>
        <v>0</v>
      </c>
      <c r="T395" s="4">
        <f ca="1">(1+VLOOKUP(YEAR(A395),'ÖNYP kalkulátor'!$E$15:$F$75,2,FALSE)+VLOOKUP(YEAR(A395),'ÖNYP kalkulátor'!$E$15:$I$75,5,FALSE))^(1/12)-1</f>
        <v>4.0741237836483535E-3</v>
      </c>
      <c r="U395" s="8">
        <f t="shared" ca="1" si="75"/>
        <v>272565.68824399484</v>
      </c>
      <c r="V395" s="14">
        <f t="shared" ca="1" si="76"/>
        <v>67174236.505892515</v>
      </c>
      <c r="W395" s="8">
        <f t="shared" ca="1" si="77"/>
        <v>25473441.555336889</v>
      </c>
    </row>
    <row r="396" spans="1:23" x14ac:dyDescent="0.2">
      <c r="A396" s="6">
        <f t="shared" ca="1" si="81"/>
        <v>57619</v>
      </c>
      <c r="B396" s="12">
        <f t="shared" ca="1" si="82"/>
        <v>10</v>
      </c>
      <c r="C396" s="7">
        <f ca="1">(YEAR(A396)-YEAR('ÖNYP kalkulátor'!$C$10))+(MONTH(CF!A396)-MONTH('ÖNYP kalkulátor'!$C$10)-1)/12</f>
        <v>76.333333333333329</v>
      </c>
      <c r="D396" s="4">
        <f ca="1">(1+VLOOKUP(YEAR(A396),'ÖNYP kalkulátor'!$E$15:$F$75,2,FALSE))^(1/12)-1</f>
        <v>2.4662697723036864E-3</v>
      </c>
      <c r="E396" s="4">
        <f t="shared" ca="1" si="73"/>
        <v>2.6435338997512225</v>
      </c>
      <c r="F396" s="8">
        <f t="shared" ca="1" si="74"/>
        <v>67174236.505892515</v>
      </c>
      <c r="G396" s="8">
        <v>10000</v>
      </c>
      <c r="H396" s="8">
        <v>250000</v>
      </c>
      <c r="I396" s="8">
        <v>500000</v>
      </c>
      <c r="J396" s="8">
        <v>750000</v>
      </c>
      <c r="K396" s="8"/>
      <c r="L396" s="4">
        <f ca="1">+IF('ÖNYP kalkulátor'!$C$16="nem",0,
IF(MONTH(A396)=1,VLOOKUP(YEAR(A396),'ÖNYP kalkulátor'!$E$15:$J$75,4),0))</f>
        <v>0</v>
      </c>
      <c r="M396" s="8">
        <f t="shared" ca="1" si="83"/>
        <v>79570.057150669993</v>
      </c>
      <c r="N396" s="8">
        <f t="shared" ca="1" si="84"/>
        <v>26523.35238355667</v>
      </c>
      <c r="O396" s="8">
        <f t="shared" ca="1" si="78"/>
        <v>1060934.0953422666</v>
      </c>
      <c r="P396" s="8">
        <f t="shared" ca="1" si="79"/>
        <v>1026479.4248655553</v>
      </c>
      <c r="Q396" s="8">
        <f t="shared" ca="1" si="80"/>
        <v>105562.94248655555</v>
      </c>
      <c r="R396" s="13">
        <v>150000</v>
      </c>
      <c r="S396" s="13">
        <f ca="1">MIN(IF(AND(MONTH(A396)=5,'ÖNYP kalkulátor'!$IU$6="igen"),(M396+N396)*12/(1+IF('ÖNYP kalkulátor'!$C$16="nem",0,VLOOKUP(YEAR(A396),'ÖNYP kalkulátor'!$E$15:$J$75,4)))*0.2,0),R396)</f>
        <v>0</v>
      </c>
      <c r="T396" s="4">
        <f ca="1">(1+VLOOKUP(YEAR(A396),'ÖNYP kalkulátor'!$E$15:$F$75,2,FALSE)+VLOOKUP(YEAR(A396),'ÖNYP kalkulátor'!$E$15:$I$75,5,FALSE))^(1/12)-1</f>
        <v>4.0741237836483535E-3</v>
      </c>
      <c r="U396" s="8">
        <f t="shared" ca="1" si="75"/>
        <v>274106.23109173257</v>
      </c>
      <c r="V396" s="14">
        <f t="shared" ca="1" si="76"/>
        <v>67553905.679470807</v>
      </c>
      <c r="W396" s="8">
        <f t="shared" ca="1" si="77"/>
        <v>25554393.566062521</v>
      </c>
    </row>
    <row r="397" spans="1:23" x14ac:dyDescent="0.2">
      <c r="A397" s="6">
        <f t="shared" ca="1" si="81"/>
        <v>57650</v>
      </c>
      <c r="B397" s="12">
        <f t="shared" ca="1" si="82"/>
        <v>11</v>
      </c>
      <c r="C397" s="7">
        <f ca="1">(YEAR(A397)-YEAR('ÖNYP kalkulátor'!$C$10))+(MONTH(CF!A397)-MONTH('ÖNYP kalkulátor'!$C$10)-1)/12</f>
        <v>76.416666666666671</v>
      </c>
      <c r="D397" s="4">
        <f ca="1">(1+VLOOKUP(YEAR(A397),'ÖNYP kalkulátor'!$E$15:$F$75,2,FALSE))^(1/12)-1</f>
        <v>2.4662697723036864E-3</v>
      </c>
      <c r="E397" s="4">
        <f t="shared" ca="1" si="73"/>
        <v>2.650053567500239</v>
      </c>
      <c r="F397" s="8">
        <f t="shared" ca="1" si="74"/>
        <v>67553905.679470807</v>
      </c>
      <c r="G397" s="8">
        <v>10000</v>
      </c>
      <c r="H397" s="8">
        <v>250000</v>
      </c>
      <c r="I397" s="8">
        <v>500000</v>
      </c>
      <c r="J397" s="8">
        <v>750000</v>
      </c>
      <c r="K397" s="8"/>
      <c r="L397" s="4">
        <f ca="1">+IF('ÖNYP kalkulátor'!$C$16="nem",0,
IF(MONTH(A397)=1,VLOOKUP(YEAR(A397),'ÖNYP kalkulátor'!$E$15:$J$75,4),0))</f>
        <v>0</v>
      </c>
      <c r="M397" s="8">
        <f t="shared" ca="1" si="83"/>
        <v>79570.057150669993</v>
      </c>
      <c r="N397" s="8">
        <f t="shared" ca="1" si="84"/>
        <v>26523.35238355667</v>
      </c>
      <c r="O397" s="8">
        <f t="shared" ca="1" si="78"/>
        <v>1167027.5048764935</v>
      </c>
      <c r="P397" s="8">
        <f t="shared" ca="1" si="79"/>
        <v>1132042.367352111</v>
      </c>
      <c r="Q397" s="8">
        <f t="shared" ca="1" si="80"/>
        <v>105562.94248655578</v>
      </c>
      <c r="R397" s="13">
        <v>150000</v>
      </c>
      <c r="S397" s="13">
        <f ca="1">MIN(IF(AND(MONTH(A397)=5,'ÖNYP kalkulátor'!$IU$6="igen"),(M397+N397)*12/(1+IF('ÖNYP kalkulátor'!$C$16="nem",0,VLOOKUP(YEAR(A397),'ÖNYP kalkulátor'!$E$15:$J$75,4)))*0.2,0),R397)</f>
        <v>0</v>
      </c>
      <c r="T397" s="4">
        <f ca="1">(1+VLOOKUP(YEAR(A397),'ÖNYP kalkulátor'!$E$15:$F$75,2,FALSE)+VLOOKUP(YEAR(A397),'ÖNYP kalkulátor'!$E$15:$I$75,5,FALSE))^(1/12)-1</f>
        <v>4.0741237836483535E-3</v>
      </c>
      <c r="U397" s="8">
        <f t="shared" ca="1" si="75"/>
        <v>275653.05030172598</v>
      </c>
      <c r="V397" s="14">
        <f t="shared" ca="1" si="76"/>
        <v>67935121.672259092</v>
      </c>
      <c r="W397" s="8">
        <f t="shared" ca="1" si="77"/>
        <v>25635376.77328591</v>
      </c>
    </row>
    <row r="398" spans="1:23" x14ac:dyDescent="0.2">
      <c r="A398" s="6">
        <f t="shared" ca="1" si="81"/>
        <v>57680</v>
      </c>
      <c r="B398" s="12">
        <f t="shared" ca="1" si="82"/>
        <v>12</v>
      </c>
      <c r="C398" s="7">
        <f ca="1">(YEAR(A398)-YEAR('ÖNYP kalkulátor'!$C$10))+(MONTH(CF!A398)-MONTH('ÖNYP kalkulátor'!$C$10)-1)/12</f>
        <v>76.5</v>
      </c>
      <c r="D398" s="4">
        <f ca="1">(1+VLOOKUP(YEAR(A398),'ÖNYP kalkulátor'!$E$15:$F$75,2,FALSE))^(1/12)-1</f>
        <v>2.4662697723036864E-3</v>
      </c>
      <c r="E398" s="4">
        <f t="shared" ca="1" si="73"/>
        <v>2.6565893145087505</v>
      </c>
      <c r="F398" s="8">
        <f t="shared" ca="1" si="74"/>
        <v>67935121.672259092</v>
      </c>
      <c r="G398" s="8">
        <v>10000</v>
      </c>
      <c r="H398" s="8">
        <v>250000</v>
      </c>
      <c r="I398" s="8">
        <v>500000</v>
      </c>
      <c r="J398" s="8">
        <v>750000</v>
      </c>
      <c r="K398" s="8"/>
      <c r="L398" s="4">
        <f ca="1">+IF('ÖNYP kalkulátor'!$C$16="nem",0,
IF(MONTH(A398)=1,VLOOKUP(YEAR(A398),'ÖNYP kalkulátor'!$E$15:$J$75,4),0))</f>
        <v>0</v>
      </c>
      <c r="M398" s="8">
        <f t="shared" ca="1" si="83"/>
        <v>79570.057150669993</v>
      </c>
      <c r="N398" s="8">
        <f t="shared" ca="1" si="84"/>
        <v>26523.35238355667</v>
      </c>
      <c r="O398" s="8">
        <f t="shared" ca="1" si="78"/>
        <v>1273120.9144107203</v>
      </c>
      <c r="P398" s="8">
        <f t="shared" ca="1" si="79"/>
        <v>1237605.3098386668</v>
      </c>
      <c r="Q398" s="8">
        <f t="shared" ca="1" si="80"/>
        <v>105562.94248655578</v>
      </c>
      <c r="R398" s="13">
        <v>150000</v>
      </c>
      <c r="S398" s="13">
        <f ca="1">MIN(IF(AND(MONTH(A398)=5,'ÖNYP kalkulátor'!$IU$6="igen"),(M398+N398)*12/(1+IF('ÖNYP kalkulátor'!$C$16="nem",0,VLOOKUP(YEAR(A398),'ÖNYP kalkulátor'!$E$15:$J$75,4)))*0.2,0),R398)</f>
        <v>0</v>
      </c>
      <c r="T398" s="4">
        <f ca="1">(1+VLOOKUP(YEAR(A398),'ÖNYP kalkulátor'!$E$15:$F$75,2,FALSE)+VLOOKUP(YEAR(A398),'ÖNYP kalkulátor'!$E$15:$I$75,5,FALSE))^(1/12)-1</f>
        <v>4.0741237836483535E-3</v>
      </c>
      <c r="U398" s="8">
        <f t="shared" ca="1" si="75"/>
        <v>277206.17144465185</v>
      </c>
      <c r="V398" s="14">
        <f t="shared" ca="1" si="76"/>
        <v>68317890.786190301</v>
      </c>
      <c r="W398" s="8">
        <f t="shared" ca="1" si="77"/>
        <v>25716391.469723076</v>
      </c>
    </row>
    <row r="399" spans="1:23" x14ac:dyDescent="0.2">
      <c r="A399" s="6">
        <f t="shared" ca="1" si="81"/>
        <v>57711</v>
      </c>
      <c r="B399" s="12">
        <f t="shared" ca="1" si="82"/>
        <v>1</v>
      </c>
      <c r="C399" s="7">
        <f ca="1">(YEAR(A399)-YEAR('ÖNYP kalkulátor'!$C$10))+(MONTH(CF!A399)-MONTH('ÖNYP kalkulátor'!$C$10)-1)/12</f>
        <v>76.583333333333329</v>
      </c>
      <c r="D399" s="4">
        <f ca="1">(1+VLOOKUP(YEAR(A399),'ÖNYP kalkulátor'!$E$15:$F$75,2,FALSE))^(1/12)-1</f>
        <v>2.4662697723036864E-3</v>
      </c>
      <c r="E399" s="4">
        <f t="shared" ca="1" si="73"/>
        <v>2.6631411804325484</v>
      </c>
      <c r="F399" s="8">
        <f t="shared" ca="1" si="74"/>
        <v>68317890.786190301</v>
      </c>
      <c r="G399" s="8">
        <v>10000</v>
      </c>
      <c r="H399" s="8">
        <v>250000</v>
      </c>
      <c r="I399" s="8">
        <v>500000</v>
      </c>
      <c r="J399" s="8">
        <v>750000</v>
      </c>
      <c r="K399" s="8"/>
      <c r="L399" s="4">
        <f ca="1">+IF('ÖNYP kalkulátor'!$C$16="nem",0,
IF(MONTH(A399)=1,VLOOKUP(YEAR(A399),'ÖNYP kalkulátor'!$E$15:$J$75,4),0))</f>
        <v>0.03</v>
      </c>
      <c r="M399" s="8">
        <f t="shared" ca="1" si="83"/>
        <v>81957.158865190097</v>
      </c>
      <c r="N399" s="8">
        <f t="shared" ca="1" si="84"/>
        <v>27319.052955063373</v>
      </c>
      <c r="O399" s="8">
        <f t="shared" ca="1" si="78"/>
        <v>109276.21182025346</v>
      </c>
      <c r="P399" s="8">
        <f t="shared" ca="1" si="79"/>
        <v>102319.63911103825</v>
      </c>
      <c r="Q399" s="8">
        <f t="shared" ca="1" si="80"/>
        <v>102319.63911103825</v>
      </c>
      <c r="R399" s="13">
        <v>150000</v>
      </c>
      <c r="S399" s="13">
        <f ca="1">MIN(IF(AND(MONTH(A399)=5,'ÖNYP kalkulátor'!$IU$6="igen"),(M399+N399)*12/(1+IF('ÖNYP kalkulátor'!$C$16="nem",0,VLOOKUP(YEAR(A399),'ÖNYP kalkulátor'!$E$15:$J$75,4)))*0.2,0),R399)</f>
        <v>0</v>
      </c>
      <c r="T399" s="4">
        <f ca="1">(1+VLOOKUP(YEAR(A399),'ÖNYP kalkulátor'!$E$15:$F$75,2,FALSE)+VLOOKUP(YEAR(A399),'ÖNYP kalkulátor'!$E$15:$I$75,5,FALSE))^(1/12)-1</f>
        <v>4.0741237836483535E-3</v>
      </c>
      <c r="U399" s="8">
        <f t="shared" ca="1" si="75"/>
        <v>278752.40657594521</v>
      </c>
      <c r="V399" s="14">
        <f t="shared" ca="1" si="76"/>
        <v>68698962.831877291</v>
      </c>
      <c r="W399" s="8">
        <f t="shared" ca="1" si="77"/>
        <v>25796215.137463789</v>
      </c>
    </row>
    <row r="400" spans="1:23" x14ac:dyDescent="0.2">
      <c r="A400" s="6">
        <f t="shared" ca="1" si="81"/>
        <v>57742</v>
      </c>
      <c r="B400" s="12">
        <f t="shared" ca="1" si="82"/>
        <v>2</v>
      </c>
      <c r="C400" s="7">
        <f ca="1">(YEAR(A400)-YEAR('ÖNYP kalkulátor'!$C$10))+(MONTH(CF!A400)-MONTH('ÖNYP kalkulátor'!$C$10)-1)/12</f>
        <v>76.666666666666671</v>
      </c>
      <c r="D400" s="4">
        <f ca="1">(1+VLOOKUP(YEAR(A400),'ÖNYP kalkulátor'!$E$15:$F$75,2,FALSE))^(1/12)-1</f>
        <v>2.4662697723036864E-3</v>
      </c>
      <c r="E400" s="4">
        <f t="shared" ca="1" si="73"/>
        <v>2.6697092050252262</v>
      </c>
      <c r="F400" s="8">
        <f t="shared" ca="1" si="74"/>
        <v>68698962.831877291</v>
      </c>
      <c r="G400" s="8">
        <v>10000</v>
      </c>
      <c r="H400" s="8">
        <v>250000</v>
      </c>
      <c r="I400" s="8">
        <v>500000</v>
      </c>
      <c r="J400" s="8">
        <v>750000</v>
      </c>
      <c r="K400" s="8"/>
      <c r="L400" s="4">
        <f ca="1">+IF('ÖNYP kalkulátor'!$C$16="nem",0,
IF(MONTH(A400)=1,VLOOKUP(YEAR(A400),'ÖNYP kalkulátor'!$E$15:$J$75,4),0))</f>
        <v>0</v>
      </c>
      <c r="M400" s="8">
        <f t="shared" ca="1" si="83"/>
        <v>81957.158865190097</v>
      </c>
      <c r="N400" s="8">
        <f t="shared" ca="1" si="84"/>
        <v>27319.052955063373</v>
      </c>
      <c r="O400" s="8">
        <f t="shared" ca="1" si="78"/>
        <v>218552.42364050695</v>
      </c>
      <c r="P400" s="8">
        <f t="shared" ca="1" si="79"/>
        <v>205039.27822207654</v>
      </c>
      <c r="Q400" s="8">
        <f t="shared" ca="1" si="80"/>
        <v>102719.63911103828</v>
      </c>
      <c r="R400" s="13">
        <v>150000</v>
      </c>
      <c r="S400" s="13">
        <f ca="1">MIN(IF(AND(MONTH(A400)=5,'ÖNYP kalkulátor'!$IU$6="igen"),(M400+N400)*12/(1+IF('ÖNYP kalkulátor'!$C$16="nem",0,VLOOKUP(YEAR(A400),'ÖNYP kalkulátor'!$E$15:$J$75,4)))*0.2,0),R400)</f>
        <v>0</v>
      </c>
      <c r="T400" s="4">
        <f ca="1">(1+VLOOKUP(YEAR(A400),'ÖNYP kalkulátor'!$E$15:$F$75,2,FALSE)+VLOOKUP(YEAR(A400),'ÖNYP kalkulátor'!$E$15:$I$75,5,FALSE))^(1/12)-1</f>
        <v>4.0741237836483535E-3</v>
      </c>
      <c r="U400" s="8">
        <f t="shared" ca="1" si="75"/>
        <v>280306.57091007556</v>
      </c>
      <c r="V400" s="14">
        <f t="shared" ca="1" si="76"/>
        <v>69081989.041898414</v>
      </c>
      <c r="W400" s="8">
        <f t="shared" ca="1" si="77"/>
        <v>25876222.366040669</v>
      </c>
    </row>
    <row r="401" spans="1:23" x14ac:dyDescent="0.2">
      <c r="A401" s="6">
        <f t="shared" ca="1" si="81"/>
        <v>57770</v>
      </c>
      <c r="B401" s="12">
        <f t="shared" ca="1" si="82"/>
        <v>3</v>
      </c>
      <c r="C401" s="7">
        <f ca="1">(YEAR(A401)-YEAR('ÖNYP kalkulátor'!$C$10))+(MONTH(CF!A401)-MONTH('ÖNYP kalkulátor'!$C$10)-1)/12</f>
        <v>76.75</v>
      </c>
      <c r="D401" s="4">
        <f ca="1">(1+VLOOKUP(YEAR(A401),'ÖNYP kalkulátor'!$E$15:$F$75,2,FALSE))^(1/12)-1</f>
        <v>2.4662697723036864E-3</v>
      </c>
      <c r="E401" s="4">
        <f t="shared" ca="1" si="73"/>
        <v>2.676293428138421</v>
      </c>
      <c r="F401" s="8">
        <f t="shared" ca="1" si="74"/>
        <v>69081989.041898414</v>
      </c>
      <c r="G401" s="8">
        <v>10000</v>
      </c>
      <c r="H401" s="8">
        <v>250000</v>
      </c>
      <c r="I401" s="8">
        <v>500000</v>
      </c>
      <c r="J401" s="8">
        <v>750000</v>
      </c>
      <c r="K401" s="8"/>
      <c r="L401" s="4">
        <f ca="1">+IF('ÖNYP kalkulátor'!$C$16="nem",0,
IF(MONTH(A401)=1,VLOOKUP(YEAR(A401),'ÖNYP kalkulátor'!$E$15:$J$75,4),0))</f>
        <v>0</v>
      </c>
      <c r="M401" s="8">
        <f t="shared" ca="1" si="83"/>
        <v>81957.158865190097</v>
      </c>
      <c r="N401" s="8">
        <f t="shared" ca="1" si="84"/>
        <v>27319.052955063373</v>
      </c>
      <c r="O401" s="8">
        <f t="shared" ca="1" si="78"/>
        <v>327828.63546076039</v>
      </c>
      <c r="P401" s="8">
        <f t="shared" ca="1" si="79"/>
        <v>308537.20368772233</v>
      </c>
      <c r="Q401" s="8">
        <f t="shared" ca="1" si="80"/>
        <v>103497.92546564579</v>
      </c>
      <c r="R401" s="13">
        <v>150000</v>
      </c>
      <c r="S401" s="13">
        <f ca="1">MIN(IF(AND(MONTH(A401)=5,'ÖNYP kalkulátor'!$IU$6="igen"),(M401+N401)*12/(1+IF('ÖNYP kalkulátor'!$C$16="nem",0,VLOOKUP(YEAR(A401),'ÖNYP kalkulátor'!$E$15:$J$75,4)))*0.2,0),R401)</f>
        <v>0</v>
      </c>
      <c r="T401" s="4">
        <f ca="1">(1+VLOOKUP(YEAR(A401),'ÖNYP kalkulátor'!$E$15:$F$75,2,FALSE)+VLOOKUP(YEAR(A401),'ÖNYP kalkulátor'!$E$15:$I$75,5,FALSE))^(1/12)-1</f>
        <v>4.0741237836483535E-3</v>
      </c>
      <c r="U401" s="8">
        <f t="shared" ca="1" si="75"/>
        <v>281870.23793703108</v>
      </c>
      <c r="V401" s="14">
        <f t="shared" ca="1" si="76"/>
        <v>69467357.205301091</v>
      </c>
      <c r="W401" s="8">
        <f t="shared" ca="1" si="77"/>
        <v>25956554.866116181</v>
      </c>
    </row>
    <row r="402" spans="1:23" x14ac:dyDescent="0.2">
      <c r="A402" s="6">
        <f t="shared" ca="1" si="81"/>
        <v>57801</v>
      </c>
      <c r="B402" s="12">
        <f t="shared" ca="1" si="82"/>
        <v>4</v>
      </c>
      <c r="C402" s="7">
        <f ca="1">(YEAR(A402)-YEAR('ÖNYP kalkulátor'!$C$10))+(MONTH(CF!A402)-MONTH('ÖNYP kalkulátor'!$C$10)-1)/12</f>
        <v>76.833333333333329</v>
      </c>
      <c r="D402" s="4">
        <f ca="1">(1+VLOOKUP(YEAR(A402),'ÖNYP kalkulátor'!$E$15:$F$75,2,FALSE))^(1/12)-1</f>
        <v>2.4662697723036864E-3</v>
      </c>
      <c r="E402" s="4">
        <f t="shared" ca="1" si="73"/>
        <v>2.6828938897220538</v>
      </c>
      <c r="F402" s="8">
        <f t="shared" ca="1" si="74"/>
        <v>69467357.205301091</v>
      </c>
      <c r="G402" s="8">
        <v>10000</v>
      </c>
      <c r="H402" s="8">
        <v>250000</v>
      </c>
      <c r="I402" s="8">
        <v>500000</v>
      </c>
      <c r="J402" s="8">
        <v>750000</v>
      </c>
      <c r="K402" s="8"/>
      <c r="L402" s="4">
        <f ca="1">+IF('ÖNYP kalkulátor'!$C$16="nem",0,
IF(MONTH(A402)=1,VLOOKUP(YEAR(A402),'ÖNYP kalkulátor'!$E$15:$J$75,4),0))</f>
        <v>0</v>
      </c>
      <c r="M402" s="8">
        <f t="shared" ca="1" si="83"/>
        <v>81957.158865190097</v>
      </c>
      <c r="N402" s="8">
        <f t="shared" ca="1" si="84"/>
        <v>27319.052955063373</v>
      </c>
      <c r="O402" s="8">
        <f t="shared" ca="1" si="78"/>
        <v>437104.84728101385</v>
      </c>
      <c r="P402" s="8">
        <f t="shared" ca="1" si="79"/>
        <v>412349.60491696314</v>
      </c>
      <c r="Q402" s="8">
        <f t="shared" ca="1" si="80"/>
        <v>103812.40122924082</v>
      </c>
      <c r="R402" s="13">
        <v>150000</v>
      </c>
      <c r="S402" s="13">
        <f ca="1">MIN(IF(AND(MONTH(A402)=5,'ÖNYP kalkulátor'!$IU$6="igen"),(M402+N402)*12/(1+IF('ÖNYP kalkulátor'!$C$16="nem",0,VLOOKUP(YEAR(A402),'ÖNYP kalkulátor'!$E$15:$J$75,4)))*0.2,0),R402)</f>
        <v>0</v>
      </c>
      <c r="T402" s="4">
        <f ca="1">(1+VLOOKUP(YEAR(A402),'ÖNYP kalkulátor'!$E$15:$F$75,2,FALSE)+VLOOKUP(YEAR(A402),'ÖNYP kalkulátor'!$E$15:$I$75,5,FALSE))^(1/12)-1</f>
        <v>4.0741237836483535E-3</v>
      </c>
      <c r="U402" s="8">
        <f t="shared" ca="1" si="75"/>
        <v>283441.55675019871</v>
      </c>
      <c r="V402" s="14">
        <f t="shared" ca="1" si="76"/>
        <v>69854611.163280532</v>
      </c>
      <c r="W402" s="8">
        <f t="shared" ca="1" si="77"/>
        <v>26037038.375199188</v>
      </c>
    </row>
    <row r="403" spans="1:23" x14ac:dyDescent="0.2">
      <c r="A403" s="6">
        <f t="shared" ca="1" si="81"/>
        <v>57831</v>
      </c>
      <c r="B403" s="12">
        <f t="shared" ca="1" si="82"/>
        <v>5</v>
      </c>
      <c r="C403" s="7">
        <f ca="1">(YEAR(A403)-YEAR('ÖNYP kalkulátor'!$C$10))+(MONTH(CF!A403)-MONTH('ÖNYP kalkulátor'!$C$10)-1)/12</f>
        <v>76.916666666666671</v>
      </c>
      <c r="D403" s="4">
        <f ca="1">(1+VLOOKUP(YEAR(A403),'ÖNYP kalkulátor'!$E$15:$F$75,2,FALSE))^(1/12)-1</f>
        <v>2.4662697723036864E-3</v>
      </c>
      <c r="E403" s="4">
        <f t="shared" ca="1" si="73"/>
        <v>2.6895106298245737</v>
      </c>
      <c r="F403" s="8">
        <f t="shared" ca="1" si="74"/>
        <v>69854611.163280532</v>
      </c>
      <c r="G403" s="8">
        <v>10000</v>
      </c>
      <c r="H403" s="8">
        <v>250000</v>
      </c>
      <c r="I403" s="8">
        <v>500000</v>
      </c>
      <c r="J403" s="8">
        <v>750000</v>
      </c>
      <c r="K403" s="8"/>
      <c r="L403" s="4">
        <f ca="1">+IF('ÖNYP kalkulátor'!$C$16="nem",0,
IF(MONTH(A403)=1,VLOOKUP(YEAR(A403),'ÖNYP kalkulátor'!$E$15:$J$75,4),0))</f>
        <v>0</v>
      </c>
      <c r="M403" s="8">
        <f t="shared" ca="1" si="83"/>
        <v>81957.158865190097</v>
      </c>
      <c r="N403" s="8">
        <f t="shared" ca="1" si="84"/>
        <v>27319.052955063373</v>
      </c>
      <c r="O403" s="8">
        <f t="shared" ca="1" si="78"/>
        <v>546381.05910126737</v>
      </c>
      <c r="P403" s="8">
        <f t="shared" ca="1" si="79"/>
        <v>517553.43791924202</v>
      </c>
      <c r="Q403" s="8">
        <f t="shared" ca="1" si="80"/>
        <v>105203.83300227887</v>
      </c>
      <c r="R403" s="13">
        <v>150000</v>
      </c>
      <c r="S403" s="13">
        <f ca="1">MIN(IF(AND(MONTH(A403)=5,'ÖNYP kalkulátor'!$IU$6="igen"),(M403+N403)*12/(1+IF('ÖNYP kalkulátor'!$C$16="nem",0,VLOOKUP(YEAR(A403),'ÖNYP kalkulátor'!$E$15:$J$75,4)))*0.2,0),R403)</f>
        <v>150000</v>
      </c>
      <c r="T403" s="4">
        <f ca="1">(1+VLOOKUP(YEAR(A403),'ÖNYP kalkulátor'!$E$15:$F$75,2,FALSE)+VLOOKUP(YEAR(A403),'ÖNYP kalkulátor'!$E$15:$I$75,5,FALSE))^(1/12)-1</f>
        <v>4.0741237836483535E-3</v>
      </c>
      <c r="U403" s="8">
        <f t="shared" ca="1" si="75"/>
        <v>285636.06474354182</v>
      </c>
      <c r="V403" s="14">
        <f t="shared" ca="1" si="76"/>
        <v>70395451.061026365</v>
      </c>
      <c r="W403" s="8">
        <f t="shared" ca="1" si="77"/>
        <v>26174074.301992249</v>
      </c>
    </row>
    <row r="404" spans="1:23" x14ac:dyDescent="0.2">
      <c r="A404" s="6">
        <f t="shared" ca="1" si="81"/>
        <v>57862</v>
      </c>
      <c r="B404" s="12">
        <f t="shared" ca="1" si="82"/>
        <v>6</v>
      </c>
      <c r="C404" s="7">
        <f ca="1">(YEAR(A404)-YEAR('ÖNYP kalkulátor'!$C$10))+(MONTH(CF!A404)-MONTH('ÖNYP kalkulátor'!$C$10)-1)/12</f>
        <v>77</v>
      </c>
      <c r="D404" s="4">
        <f ca="1">(1+VLOOKUP(YEAR(A404),'ÖNYP kalkulátor'!$E$15:$F$75,2,FALSE))^(1/12)-1</f>
        <v>2.4662697723036864E-3</v>
      </c>
      <c r="E404" s="4">
        <f t="shared" ca="1" si="73"/>
        <v>2.6961436885931995</v>
      </c>
      <c r="F404" s="8">
        <f t="shared" ca="1" si="74"/>
        <v>70395451.061026365</v>
      </c>
      <c r="G404" s="8">
        <v>10000</v>
      </c>
      <c r="H404" s="8">
        <v>250000</v>
      </c>
      <c r="I404" s="8">
        <v>500000</v>
      </c>
      <c r="J404" s="8">
        <v>750000</v>
      </c>
      <c r="K404" s="8"/>
      <c r="L404" s="4">
        <f ca="1">+IF('ÖNYP kalkulátor'!$C$16="nem",0,
IF(MONTH(A404)=1,VLOOKUP(YEAR(A404),'ÖNYP kalkulátor'!$E$15:$J$75,4),0))</f>
        <v>0</v>
      </c>
      <c r="M404" s="8">
        <f t="shared" ca="1" si="83"/>
        <v>81957.158865190097</v>
      </c>
      <c r="N404" s="8">
        <f t="shared" ca="1" si="84"/>
        <v>27319.052955063373</v>
      </c>
      <c r="O404" s="8">
        <f t="shared" ca="1" si="78"/>
        <v>655657.27092152089</v>
      </c>
      <c r="P404" s="8">
        <f t="shared" ca="1" si="79"/>
        <v>624644.12550309044</v>
      </c>
      <c r="Q404" s="8">
        <f t="shared" ca="1" si="80"/>
        <v>107090.68758384843</v>
      </c>
      <c r="R404" s="13">
        <v>150000</v>
      </c>
      <c r="S404" s="13">
        <f ca="1">MIN(IF(AND(MONTH(A404)=5,'ÖNYP kalkulátor'!$IU$6="igen"),(M404+N404)*12/(1+IF('ÖNYP kalkulátor'!$C$16="nem",0,VLOOKUP(YEAR(A404),'ÖNYP kalkulátor'!$E$15:$J$75,4)))*0.2,0),R404)</f>
        <v>0</v>
      </c>
      <c r="T404" s="4">
        <f ca="1">(1+VLOOKUP(YEAR(A404),'ÖNYP kalkulátor'!$E$15:$F$75,2,FALSE)+VLOOKUP(YEAR(A404),'ÖNYP kalkulátor'!$E$15:$I$75,5,FALSE))^(1/12)-1</f>
        <v>4.0741237836483535E-3</v>
      </c>
      <c r="U404" s="8">
        <f t="shared" ca="1" si="75"/>
        <v>287236.08214567386</v>
      </c>
      <c r="V404" s="14">
        <f t="shared" ca="1" si="76"/>
        <v>70789777.830755889</v>
      </c>
      <c r="W404" s="8">
        <f t="shared" ca="1" si="77"/>
        <v>26255936.629138913</v>
      </c>
    </row>
    <row r="405" spans="1:23" x14ac:dyDescent="0.2">
      <c r="A405" s="6">
        <f t="shared" ca="1" si="81"/>
        <v>57892</v>
      </c>
      <c r="B405" s="12">
        <f t="shared" ca="1" si="82"/>
        <v>7</v>
      </c>
      <c r="C405" s="7">
        <f ca="1">(YEAR(A405)-YEAR('ÖNYP kalkulátor'!$C$10))+(MONTH(CF!A405)-MONTH('ÖNYP kalkulátor'!$C$10)-1)/12</f>
        <v>77.083333333333329</v>
      </c>
      <c r="D405" s="4">
        <f ca="1">(1+VLOOKUP(YEAR(A405),'ÖNYP kalkulátor'!$E$15:$F$75,2,FALSE))^(1/12)-1</f>
        <v>2.4662697723036864E-3</v>
      </c>
      <c r="E405" s="4">
        <f t="shared" ca="1" si="73"/>
        <v>2.7027931062741644</v>
      </c>
      <c r="F405" s="8">
        <f t="shared" ca="1" si="74"/>
        <v>70789777.830755889</v>
      </c>
      <c r="G405" s="8">
        <v>10000</v>
      </c>
      <c r="H405" s="8">
        <v>250000</v>
      </c>
      <c r="I405" s="8">
        <v>500000</v>
      </c>
      <c r="J405" s="8">
        <v>750000</v>
      </c>
      <c r="K405" s="8"/>
      <c r="L405" s="4">
        <f ca="1">+IF('ÖNYP kalkulátor'!$C$16="nem",0,
IF(MONTH(A405)=1,VLOOKUP(YEAR(A405),'ÖNYP kalkulátor'!$E$15:$J$75,4),0))</f>
        <v>0</v>
      </c>
      <c r="M405" s="8">
        <f t="shared" ca="1" si="83"/>
        <v>81957.158865190097</v>
      </c>
      <c r="N405" s="8">
        <f t="shared" ca="1" si="84"/>
        <v>27319.052955063373</v>
      </c>
      <c r="O405" s="8">
        <f t="shared" ca="1" si="78"/>
        <v>764933.48274177441</v>
      </c>
      <c r="P405" s="8">
        <f t="shared" ca="1" si="79"/>
        <v>731958.81532806554</v>
      </c>
      <c r="Q405" s="8">
        <f t="shared" ca="1" si="80"/>
        <v>107314.6898249751</v>
      </c>
      <c r="R405" s="13">
        <v>150000</v>
      </c>
      <c r="S405" s="13">
        <f ca="1">MIN(IF(AND(MONTH(A405)=5,'ÖNYP kalkulátor'!$IU$6="igen"),(M405+N405)*12/(1+IF('ÖNYP kalkulátor'!$C$16="nem",0,VLOOKUP(YEAR(A405),'ÖNYP kalkulátor'!$E$15:$J$75,4)))*0.2,0),R405)</f>
        <v>0</v>
      </c>
      <c r="T405" s="4">
        <f ca="1">(1+VLOOKUP(YEAR(A405),'ÖNYP kalkulátor'!$E$15:$F$75,2,FALSE)+VLOOKUP(YEAR(A405),'ÖNYP kalkulátor'!$E$15:$I$75,5,FALSE))^(1/12)-1</f>
        <v>4.0741237836483535E-3</v>
      </c>
      <c r="U405" s="8">
        <f t="shared" ca="1" si="75"/>
        <v>288843.53082961624</v>
      </c>
      <c r="V405" s="14">
        <f t="shared" ca="1" si="76"/>
        <v>71185936.051410481</v>
      </c>
      <c r="W405" s="8">
        <f t="shared" ca="1" si="77"/>
        <v>26337915.353625134</v>
      </c>
    </row>
    <row r="406" spans="1:23" x14ac:dyDescent="0.2">
      <c r="A406" s="6">
        <f t="shared" ca="1" si="81"/>
        <v>57923</v>
      </c>
      <c r="B406" s="12">
        <f t="shared" ca="1" si="82"/>
        <v>8</v>
      </c>
      <c r="C406" s="7">
        <f ca="1">(YEAR(A406)-YEAR('ÖNYP kalkulátor'!$C$10))+(MONTH(CF!A406)-MONTH('ÖNYP kalkulátor'!$C$10)-1)/12</f>
        <v>77.166666666666671</v>
      </c>
      <c r="D406" s="4">
        <f ca="1">(1+VLOOKUP(YEAR(A406),'ÖNYP kalkulátor'!$E$15:$F$75,2,FALSE))^(1/12)-1</f>
        <v>2.4662697723036864E-3</v>
      </c>
      <c r="E406" s="4">
        <f t="shared" ca="1" si="73"/>
        <v>2.7094589232129591</v>
      </c>
      <c r="F406" s="8">
        <f t="shared" ca="1" si="74"/>
        <v>71185936.051410481</v>
      </c>
      <c r="G406" s="8">
        <v>10000</v>
      </c>
      <c r="H406" s="8">
        <v>250000</v>
      </c>
      <c r="I406" s="8">
        <v>500000</v>
      </c>
      <c r="J406" s="8">
        <v>750000</v>
      </c>
      <c r="K406" s="8"/>
      <c r="L406" s="4">
        <f ca="1">+IF('ÖNYP kalkulátor'!$C$16="nem",0,
IF(MONTH(A406)=1,VLOOKUP(YEAR(A406),'ÖNYP kalkulátor'!$E$15:$J$75,4),0))</f>
        <v>0</v>
      </c>
      <c r="M406" s="8">
        <f t="shared" ca="1" si="83"/>
        <v>81957.158865190097</v>
      </c>
      <c r="N406" s="8">
        <f t="shared" ca="1" si="84"/>
        <v>27319.052955063373</v>
      </c>
      <c r="O406" s="8">
        <f t="shared" ca="1" si="78"/>
        <v>874209.69456202793</v>
      </c>
      <c r="P406" s="8">
        <f t="shared" ca="1" si="79"/>
        <v>840688.64608921774</v>
      </c>
      <c r="Q406" s="8">
        <f t="shared" ca="1" si="80"/>
        <v>108729.8307611522</v>
      </c>
      <c r="R406" s="13">
        <v>150000</v>
      </c>
      <c r="S406" s="13">
        <f ca="1">MIN(IF(AND(MONTH(A406)=5,'ÖNYP kalkulátor'!$IU$6="igen"),(M406+N406)*12/(1+IF('ÖNYP kalkulátor'!$C$16="nem",0,VLOOKUP(YEAR(A406),'ÖNYP kalkulátor'!$E$15:$J$75,4)))*0.2,0),R406)</f>
        <v>0</v>
      </c>
      <c r="T406" s="4">
        <f ca="1">(1+VLOOKUP(YEAR(A406),'ÖNYP kalkulátor'!$E$15:$F$75,2,FALSE)+VLOOKUP(YEAR(A406),'ÖNYP kalkulátor'!$E$15:$I$75,5,FALSE))^(1/12)-1</f>
        <v>4.0741237836483535E-3</v>
      </c>
      <c r="U406" s="8">
        <f t="shared" ca="1" si="75"/>
        <v>290463.29391781829</v>
      </c>
      <c r="V406" s="14">
        <f t="shared" ca="1" si="76"/>
        <v>71585129.176089451</v>
      </c>
      <c r="W406" s="8">
        <f t="shared" ca="1" si="77"/>
        <v>26420451.907498054</v>
      </c>
    </row>
    <row r="407" spans="1:23" x14ac:dyDescent="0.2">
      <c r="A407" s="6">
        <f t="shared" ca="1" si="81"/>
        <v>57954</v>
      </c>
      <c r="B407" s="12">
        <f t="shared" ca="1" si="82"/>
        <v>9</v>
      </c>
      <c r="C407" s="7">
        <f ca="1">(YEAR(A407)-YEAR('ÖNYP kalkulátor'!$C$10))+(MONTH(CF!A407)-MONTH('ÖNYP kalkulátor'!$C$10)-1)/12</f>
        <v>77.25</v>
      </c>
      <c r="D407" s="4">
        <f ca="1">(1+VLOOKUP(YEAR(A407),'ÖNYP kalkulátor'!$E$15:$F$75,2,FALSE))^(1/12)-1</f>
        <v>2.4662697723036864E-3</v>
      </c>
      <c r="E407" s="4">
        <f t="shared" ca="1" si="73"/>
        <v>2.7161411798545778</v>
      </c>
      <c r="F407" s="8">
        <f t="shared" ca="1" si="74"/>
        <v>71585129.176089451</v>
      </c>
      <c r="G407" s="8">
        <v>10000</v>
      </c>
      <c r="H407" s="8">
        <v>250000</v>
      </c>
      <c r="I407" s="8">
        <v>500000</v>
      </c>
      <c r="J407" s="8">
        <v>750000</v>
      </c>
      <c r="K407" s="8"/>
      <c r="L407" s="4">
        <f ca="1">+IF('ÖNYP kalkulátor'!$C$16="nem",0,
IF(MONTH(A407)=1,VLOOKUP(YEAR(A407),'ÖNYP kalkulátor'!$E$15:$J$75,4),0))</f>
        <v>0</v>
      </c>
      <c r="M407" s="8">
        <f t="shared" ca="1" si="83"/>
        <v>81957.158865190097</v>
      </c>
      <c r="N407" s="8">
        <f t="shared" ca="1" si="84"/>
        <v>27319.052955063373</v>
      </c>
      <c r="O407" s="8">
        <f t="shared" ca="1" si="78"/>
        <v>983485.90638228145</v>
      </c>
      <c r="P407" s="8">
        <f t="shared" ca="1" si="79"/>
        <v>949418.47685037006</v>
      </c>
      <c r="Q407" s="8">
        <f t="shared" ca="1" si="80"/>
        <v>108729.83076115232</v>
      </c>
      <c r="R407" s="13">
        <v>150000</v>
      </c>
      <c r="S407" s="13">
        <f ca="1">MIN(IF(AND(MONTH(A407)=5,'ÖNYP kalkulátor'!$IU$6="igen"),(M407+N407)*12/(1+IF('ÖNYP kalkulátor'!$C$16="nem",0,VLOOKUP(YEAR(A407),'ÖNYP kalkulátor'!$E$15:$J$75,4)))*0.2,0),R407)</f>
        <v>0</v>
      </c>
      <c r="T407" s="4">
        <f ca="1">(1+VLOOKUP(YEAR(A407),'ÖNYP kalkulátor'!$E$15:$F$75,2,FALSE)+VLOOKUP(YEAR(A407),'ÖNYP kalkulátor'!$E$15:$I$75,5,FALSE))^(1/12)-1</f>
        <v>4.0741237836483535E-3</v>
      </c>
      <c r="U407" s="8">
        <f t="shared" ca="1" si="75"/>
        <v>292089.65612134174</v>
      </c>
      <c r="V407" s="14">
        <f t="shared" ca="1" si="76"/>
        <v>71985948.662971944</v>
      </c>
      <c r="W407" s="8">
        <f t="shared" ca="1" si="77"/>
        <v>26503021.71215786</v>
      </c>
    </row>
    <row r="408" spans="1:23" x14ac:dyDescent="0.2">
      <c r="A408" s="6">
        <f t="shared" ca="1" si="81"/>
        <v>57984</v>
      </c>
      <c r="B408" s="12">
        <f t="shared" ca="1" si="82"/>
        <v>10</v>
      </c>
      <c r="C408" s="7">
        <f ca="1">(YEAR(A408)-YEAR('ÖNYP kalkulátor'!$C$10))+(MONTH(CF!A408)-MONTH('ÖNYP kalkulátor'!$C$10)-1)/12</f>
        <v>77.333333333333329</v>
      </c>
      <c r="D408" s="4">
        <f ca="1">(1+VLOOKUP(YEAR(A408),'ÖNYP kalkulátor'!$E$15:$F$75,2,FALSE))^(1/12)-1</f>
        <v>2.4662697723036864E-3</v>
      </c>
      <c r="E408" s="4">
        <f t="shared" ca="1" si="73"/>
        <v>2.7228399167437622</v>
      </c>
      <c r="F408" s="8">
        <f t="shared" ca="1" si="74"/>
        <v>71985948.662971944</v>
      </c>
      <c r="G408" s="8">
        <v>10000</v>
      </c>
      <c r="H408" s="8">
        <v>250000</v>
      </c>
      <c r="I408" s="8">
        <v>500000</v>
      </c>
      <c r="J408" s="8">
        <v>750000</v>
      </c>
      <c r="K408" s="8"/>
      <c r="L408" s="4">
        <f ca="1">+IF('ÖNYP kalkulátor'!$C$16="nem",0,
IF(MONTH(A408)=1,VLOOKUP(YEAR(A408),'ÖNYP kalkulátor'!$E$15:$J$75,4),0))</f>
        <v>0</v>
      </c>
      <c r="M408" s="8">
        <f t="shared" ca="1" si="83"/>
        <v>81957.158865190097</v>
      </c>
      <c r="N408" s="8">
        <f t="shared" ca="1" si="84"/>
        <v>27319.052955063373</v>
      </c>
      <c r="O408" s="8">
        <f t="shared" ca="1" si="78"/>
        <v>1092762.1182025347</v>
      </c>
      <c r="P408" s="8">
        <f t="shared" ca="1" si="79"/>
        <v>1058148.307611522</v>
      </c>
      <c r="Q408" s="8">
        <f t="shared" ca="1" si="80"/>
        <v>108729.83076115197</v>
      </c>
      <c r="R408" s="13">
        <v>150000</v>
      </c>
      <c r="S408" s="13">
        <f ca="1">MIN(IF(AND(MONTH(A408)=5,'ÖNYP kalkulátor'!$IU$6="igen"),(M408+N408)*12/(1+IF('ÖNYP kalkulátor'!$C$16="nem",0,VLOOKUP(YEAR(A408),'ÖNYP kalkulátor'!$E$15:$J$75,4)))*0.2,0),R408)</f>
        <v>0</v>
      </c>
      <c r="T408" s="4">
        <f ca="1">(1+VLOOKUP(YEAR(A408),'ÖNYP kalkulátor'!$E$15:$F$75,2,FALSE)+VLOOKUP(YEAR(A408),'ÖNYP kalkulátor'!$E$15:$I$75,5,FALSE))^(1/12)-1</f>
        <v>4.0741237836483535E-3</v>
      </c>
      <c r="U408" s="8">
        <f t="shared" ca="1" si="75"/>
        <v>293722.64432579943</v>
      </c>
      <c r="V408" s="14">
        <f t="shared" ca="1" si="76"/>
        <v>72388401.138058886</v>
      </c>
      <c r="W408" s="8">
        <f t="shared" ca="1" si="77"/>
        <v>26585625.064813945</v>
      </c>
    </row>
    <row r="409" spans="1:23" x14ac:dyDescent="0.2">
      <c r="A409" s="6">
        <f t="shared" ca="1" si="81"/>
        <v>58015</v>
      </c>
      <c r="B409" s="12">
        <f t="shared" ca="1" si="82"/>
        <v>11</v>
      </c>
      <c r="C409" s="7">
        <f ca="1">(YEAR(A409)-YEAR('ÖNYP kalkulátor'!$C$10))+(MONTH(CF!A409)-MONTH('ÖNYP kalkulátor'!$C$10)-1)/12</f>
        <v>77.416666666666671</v>
      </c>
      <c r="D409" s="4">
        <f ca="1">(1+VLOOKUP(YEAR(A409),'ÖNYP kalkulátor'!$E$15:$F$75,2,FALSE))^(1/12)-1</f>
        <v>2.4662697723036864E-3</v>
      </c>
      <c r="E409" s="4">
        <f t="shared" ca="1" si="73"/>
        <v>2.7295551745252493</v>
      </c>
      <c r="F409" s="8">
        <f t="shared" ca="1" si="74"/>
        <v>72388401.138058886</v>
      </c>
      <c r="G409" s="8">
        <v>10000</v>
      </c>
      <c r="H409" s="8">
        <v>250000</v>
      </c>
      <c r="I409" s="8">
        <v>500000</v>
      </c>
      <c r="J409" s="8">
        <v>750000</v>
      </c>
      <c r="K409" s="8"/>
      <c r="L409" s="4">
        <f ca="1">+IF('ÖNYP kalkulátor'!$C$16="nem",0,
IF(MONTH(A409)=1,VLOOKUP(YEAR(A409),'ÖNYP kalkulátor'!$E$15:$J$75,4),0))</f>
        <v>0</v>
      </c>
      <c r="M409" s="8">
        <f t="shared" ca="1" si="83"/>
        <v>81957.158865190097</v>
      </c>
      <c r="N409" s="8">
        <f t="shared" ca="1" si="84"/>
        <v>27319.052955063373</v>
      </c>
      <c r="O409" s="8">
        <f t="shared" ca="1" si="78"/>
        <v>1202038.3300227881</v>
      </c>
      <c r="P409" s="8">
        <f t="shared" ca="1" si="79"/>
        <v>1166878.1383726741</v>
      </c>
      <c r="Q409" s="8">
        <f t="shared" ca="1" si="80"/>
        <v>108729.83076115209</v>
      </c>
      <c r="R409" s="13">
        <v>150000</v>
      </c>
      <c r="S409" s="13">
        <f ca="1">MIN(IF(AND(MONTH(A409)=5,'ÖNYP kalkulátor'!$IU$6="igen"),(M409+N409)*12/(1+IF('ÖNYP kalkulátor'!$C$16="nem",0,VLOOKUP(YEAR(A409),'ÖNYP kalkulátor'!$E$15:$J$75,4)))*0.2,0),R409)</f>
        <v>0</v>
      </c>
      <c r="T409" s="4">
        <f ca="1">(1+VLOOKUP(YEAR(A409),'ÖNYP kalkulátor'!$E$15:$F$75,2,FALSE)+VLOOKUP(YEAR(A409),'ÖNYP kalkulátor'!$E$15:$I$75,5,FALSE))^(1/12)-1</f>
        <v>4.0741237836483535E-3</v>
      </c>
      <c r="U409" s="8">
        <f t="shared" ca="1" si="75"/>
        <v>295362.28552633931</v>
      </c>
      <c r="V409" s="14">
        <f t="shared" ca="1" si="76"/>
        <v>72792493.254346371</v>
      </c>
      <c r="W409" s="8">
        <f t="shared" ca="1" si="77"/>
        <v>26668262.262552414</v>
      </c>
    </row>
    <row r="410" spans="1:23" x14ac:dyDescent="0.2">
      <c r="A410" s="6">
        <f t="shared" ca="1" si="81"/>
        <v>58045</v>
      </c>
      <c r="B410" s="12">
        <f t="shared" ca="1" si="82"/>
        <v>12</v>
      </c>
      <c r="C410" s="7">
        <f ca="1">(YEAR(A410)-YEAR('ÖNYP kalkulátor'!$C$10))+(MONTH(CF!A410)-MONTH('ÖNYP kalkulátor'!$C$10)-1)/12</f>
        <v>77.5</v>
      </c>
      <c r="D410" s="4">
        <f ca="1">(1+VLOOKUP(YEAR(A410),'ÖNYP kalkulátor'!$E$15:$F$75,2,FALSE))^(1/12)-1</f>
        <v>2.4662697723036864E-3</v>
      </c>
      <c r="E410" s="4">
        <f t="shared" ca="1" si="73"/>
        <v>2.7362869939440162</v>
      </c>
      <c r="F410" s="8">
        <f t="shared" ca="1" si="74"/>
        <v>72792493.254346371</v>
      </c>
      <c r="G410" s="8">
        <v>10000</v>
      </c>
      <c r="H410" s="8">
        <v>250000</v>
      </c>
      <c r="I410" s="8">
        <v>500000</v>
      </c>
      <c r="J410" s="8">
        <v>750000</v>
      </c>
      <c r="K410" s="8"/>
      <c r="L410" s="4">
        <f ca="1">+IF('ÖNYP kalkulátor'!$C$16="nem",0,
IF(MONTH(A410)=1,VLOOKUP(YEAR(A410),'ÖNYP kalkulátor'!$E$15:$J$75,4),0))</f>
        <v>0</v>
      </c>
      <c r="M410" s="8">
        <f t="shared" ca="1" si="83"/>
        <v>81957.158865190097</v>
      </c>
      <c r="N410" s="8">
        <f t="shared" ca="1" si="84"/>
        <v>27319.052955063373</v>
      </c>
      <c r="O410" s="8">
        <f t="shared" ca="1" si="78"/>
        <v>1311314.5418430415</v>
      </c>
      <c r="P410" s="8">
        <f t="shared" ca="1" si="79"/>
        <v>1275607.9691338264</v>
      </c>
      <c r="Q410" s="8">
        <f t="shared" ca="1" si="80"/>
        <v>108729.83076115232</v>
      </c>
      <c r="R410" s="13">
        <v>150000</v>
      </c>
      <c r="S410" s="13">
        <f ca="1">MIN(IF(AND(MONTH(A410)=5,'ÖNYP kalkulátor'!$IU$6="igen"),(M410+N410)*12/(1+IF('ÖNYP kalkulátor'!$C$16="nem",0,VLOOKUP(YEAR(A410),'ÖNYP kalkulátor'!$E$15:$J$75,4)))*0.2,0),R410)</f>
        <v>0</v>
      </c>
      <c r="T410" s="4">
        <f ca="1">(1+VLOOKUP(YEAR(A410),'ÖNYP kalkulátor'!$E$15:$F$75,2,FALSE)+VLOOKUP(YEAR(A410),'ÖNYP kalkulátor'!$E$15:$I$75,5,FALSE))^(1/12)-1</f>
        <v>4.0741237836483535E-3</v>
      </c>
      <c r="U410" s="8">
        <f t="shared" ca="1" si="75"/>
        <v>297008.60682809097</v>
      </c>
      <c r="V410" s="14">
        <f t="shared" ca="1" si="76"/>
        <v>73198231.691935614</v>
      </c>
      <c r="W410" s="8">
        <f t="shared" ca="1" si="77"/>
        <v>26750933.602337342</v>
      </c>
    </row>
    <row r="411" spans="1:23" x14ac:dyDescent="0.2">
      <c r="A411" s="6">
        <f t="shared" ca="1" si="81"/>
        <v>58076</v>
      </c>
      <c r="B411" s="12">
        <f t="shared" ca="1" si="82"/>
        <v>1</v>
      </c>
      <c r="C411" s="7">
        <f ca="1">(YEAR(A411)-YEAR('ÖNYP kalkulátor'!$C$10))+(MONTH(CF!A411)-MONTH('ÖNYP kalkulátor'!$C$10)-1)/12</f>
        <v>77.583333333333329</v>
      </c>
      <c r="D411" s="4">
        <f ca="1">(1+VLOOKUP(YEAR(A411),'ÖNYP kalkulátor'!$E$15:$F$75,2,FALSE))^(1/12)-1</f>
        <v>2.4662697723036864E-3</v>
      </c>
      <c r="E411" s="4">
        <f t="shared" ca="1" si="73"/>
        <v>2.7430354158455281</v>
      </c>
      <c r="F411" s="8">
        <f t="shared" ca="1" si="74"/>
        <v>73198231.691935614</v>
      </c>
      <c r="G411" s="8">
        <v>10000</v>
      </c>
      <c r="H411" s="8">
        <v>250000</v>
      </c>
      <c r="I411" s="8">
        <v>500000</v>
      </c>
      <c r="J411" s="8">
        <v>750000</v>
      </c>
      <c r="K411" s="8"/>
      <c r="L411" s="4">
        <f ca="1">+IF('ÖNYP kalkulátor'!$C$16="nem",0,
IF(MONTH(A411)=1,VLOOKUP(YEAR(A411),'ÖNYP kalkulátor'!$E$15:$J$75,4),0))</f>
        <v>0.03</v>
      </c>
      <c r="M411" s="8">
        <f t="shared" ca="1" si="83"/>
        <v>84415.873631145805</v>
      </c>
      <c r="N411" s="8">
        <f t="shared" ca="1" si="84"/>
        <v>28138.624543715276</v>
      </c>
      <c r="O411" s="8">
        <f t="shared" ca="1" si="78"/>
        <v>112554.49817486107</v>
      </c>
      <c r="P411" s="8">
        <f t="shared" ca="1" si="79"/>
        <v>105401.2282843694</v>
      </c>
      <c r="Q411" s="8">
        <f t="shared" ca="1" si="80"/>
        <v>105401.2282843694</v>
      </c>
      <c r="R411" s="13">
        <v>150000</v>
      </c>
      <c r="S411" s="13">
        <f ca="1">MIN(IF(AND(MONTH(A411)=5,'ÖNYP kalkulátor'!$IU$6="igen"),(M411+N411)*12/(1+IF('ÖNYP kalkulátor'!$C$16="nem",0,VLOOKUP(YEAR(A411),'ÖNYP kalkulátor'!$E$15:$J$75,4)))*0.2,0),R411)</f>
        <v>0</v>
      </c>
      <c r="T411" s="4">
        <f ca="1">(1+VLOOKUP(YEAR(A411),'ÖNYP kalkulátor'!$E$15:$F$75,2,FALSE)+VLOOKUP(YEAR(A411),'ÖNYP kalkulátor'!$E$15:$I$75,5,FALSE))^(1/12)-1</f>
        <v>4.0741237836483535E-3</v>
      </c>
      <c r="U411" s="8">
        <f t="shared" ca="1" si="75"/>
        <v>298648.07430809666</v>
      </c>
      <c r="V411" s="14">
        <f t="shared" ca="1" si="76"/>
        <v>73602280.994528085</v>
      </c>
      <c r="W411" s="8">
        <f t="shared" ca="1" si="77"/>
        <v>26832420.963052172</v>
      </c>
    </row>
    <row r="412" spans="1:23" x14ac:dyDescent="0.2">
      <c r="A412" s="6">
        <f t="shared" ca="1" si="81"/>
        <v>58107</v>
      </c>
      <c r="B412" s="12">
        <f t="shared" ca="1" si="82"/>
        <v>2</v>
      </c>
      <c r="C412" s="7">
        <f ca="1">(YEAR(A412)-YEAR('ÖNYP kalkulátor'!$C$10))+(MONTH(CF!A412)-MONTH('ÖNYP kalkulátor'!$C$10)-1)/12</f>
        <v>77.666666666666671</v>
      </c>
      <c r="D412" s="4">
        <f ca="1">(1+VLOOKUP(YEAR(A412),'ÖNYP kalkulátor'!$E$15:$F$75,2,FALSE))^(1/12)-1</f>
        <v>2.4662697723036864E-3</v>
      </c>
      <c r="E412" s="4">
        <f t="shared" ca="1" si="73"/>
        <v>2.7498004811759866</v>
      </c>
      <c r="F412" s="8">
        <f t="shared" ca="1" si="74"/>
        <v>73602280.994528085</v>
      </c>
      <c r="G412" s="8">
        <v>10000</v>
      </c>
      <c r="H412" s="8">
        <v>250000</v>
      </c>
      <c r="I412" s="8">
        <v>500000</v>
      </c>
      <c r="J412" s="8">
        <v>750000</v>
      </c>
      <c r="K412" s="8"/>
      <c r="L412" s="4">
        <f ca="1">+IF('ÖNYP kalkulátor'!$C$16="nem",0,
IF(MONTH(A412)=1,VLOOKUP(YEAR(A412),'ÖNYP kalkulátor'!$E$15:$J$75,4),0))</f>
        <v>0</v>
      </c>
      <c r="M412" s="8">
        <f t="shared" ca="1" si="83"/>
        <v>84415.873631145805</v>
      </c>
      <c r="N412" s="8">
        <f t="shared" ca="1" si="84"/>
        <v>28138.624543715276</v>
      </c>
      <c r="O412" s="8">
        <f t="shared" ca="1" si="78"/>
        <v>225108.99634972215</v>
      </c>
      <c r="P412" s="8">
        <f t="shared" ca="1" si="79"/>
        <v>211202.45656873879</v>
      </c>
      <c r="Q412" s="8">
        <f t="shared" ca="1" si="80"/>
        <v>105801.2282843694</v>
      </c>
      <c r="R412" s="13">
        <v>150000</v>
      </c>
      <c r="S412" s="13">
        <f ca="1">MIN(IF(AND(MONTH(A412)=5,'ÖNYP kalkulátor'!$IU$6="igen"),(M412+N412)*12/(1+IF('ÖNYP kalkulátor'!$C$16="nem",0,VLOOKUP(YEAR(A412),'ÖNYP kalkulátor'!$E$15:$J$75,4)))*0.2,0),R412)</f>
        <v>0</v>
      </c>
      <c r="T412" s="4">
        <f ca="1">(1+VLOOKUP(YEAR(A412),'ÖNYP kalkulátor'!$E$15:$F$75,2,FALSE)+VLOOKUP(YEAR(A412),'ÖNYP kalkulátor'!$E$15:$I$75,5,FALSE))^(1/12)-1</f>
        <v>4.0741237836483535E-3</v>
      </c>
      <c r="U412" s="8">
        <f t="shared" ca="1" si="75"/>
        <v>300295.85083106864</v>
      </c>
      <c r="V412" s="14">
        <f t="shared" ca="1" si="76"/>
        <v>74008378.07364352</v>
      </c>
      <c r="W412" s="8">
        <f t="shared" ca="1" si="77"/>
        <v>26914090.160458811</v>
      </c>
    </row>
    <row r="413" spans="1:23" x14ac:dyDescent="0.2">
      <c r="A413" s="6">
        <f t="shared" ca="1" si="81"/>
        <v>58135</v>
      </c>
      <c r="B413" s="12">
        <f t="shared" ca="1" si="82"/>
        <v>3</v>
      </c>
      <c r="C413" s="7">
        <f ca="1">(YEAR(A413)-YEAR('ÖNYP kalkulátor'!$C$10))+(MONTH(CF!A413)-MONTH('ÖNYP kalkulátor'!$C$10)-1)/12</f>
        <v>77.75</v>
      </c>
      <c r="D413" s="4">
        <f ca="1">(1+VLOOKUP(YEAR(A413),'ÖNYP kalkulátor'!$E$15:$F$75,2,FALSE))^(1/12)-1</f>
        <v>2.4662697723036864E-3</v>
      </c>
      <c r="E413" s="4">
        <f t="shared" ca="1" si="73"/>
        <v>2.7565822309825769</v>
      </c>
      <c r="F413" s="8">
        <f t="shared" ca="1" si="74"/>
        <v>74008378.07364352</v>
      </c>
      <c r="G413" s="8">
        <v>10000</v>
      </c>
      <c r="H413" s="8">
        <v>250000</v>
      </c>
      <c r="I413" s="8">
        <v>500000</v>
      </c>
      <c r="J413" s="8">
        <v>750000</v>
      </c>
      <c r="K413" s="8"/>
      <c r="L413" s="4">
        <f ca="1">+IF('ÖNYP kalkulátor'!$C$16="nem",0,
IF(MONTH(A413)=1,VLOOKUP(YEAR(A413),'ÖNYP kalkulátor'!$E$15:$J$75,4),0))</f>
        <v>0</v>
      </c>
      <c r="M413" s="8">
        <f t="shared" ca="1" si="83"/>
        <v>84415.873631145805</v>
      </c>
      <c r="N413" s="8">
        <f t="shared" ca="1" si="84"/>
        <v>28138.624543715276</v>
      </c>
      <c r="O413" s="8">
        <f t="shared" ca="1" si="78"/>
        <v>337663.49452458322</v>
      </c>
      <c r="P413" s="8">
        <f t="shared" ca="1" si="79"/>
        <v>317880.31979835406</v>
      </c>
      <c r="Q413" s="8">
        <f t="shared" ca="1" si="80"/>
        <v>106677.86322961526</v>
      </c>
      <c r="R413" s="13">
        <v>150000</v>
      </c>
      <c r="S413" s="13">
        <f ca="1">MIN(IF(AND(MONTH(A413)=5,'ÖNYP kalkulátor'!$IU$6="igen"),(M413+N413)*12/(1+IF('ÖNYP kalkulátor'!$C$16="nem",0,VLOOKUP(YEAR(A413),'ÖNYP kalkulátor'!$E$15:$J$75,4)))*0.2,0),R413)</f>
        <v>0</v>
      </c>
      <c r="T413" s="4">
        <f ca="1">(1+VLOOKUP(YEAR(A413),'ÖNYP kalkulátor'!$E$15:$F$75,2,FALSE)+VLOOKUP(YEAR(A413),'ÖNYP kalkulátor'!$E$15:$I$75,5,FALSE))^(1/12)-1</f>
        <v>4.0741237836483535E-3</v>
      </c>
      <c r="U413" s="8">
        <f t="shared" ca="1" si="75"/>
        <v>301953.91211884294</v>
      </c>
      <c r="V413" s="14">
        <f t="shared" ca="1" si="76"/>
        <v>74417009.848991975</v>
      </c>
      <c r="W413" s="8">
        <f t="shared" ca="1" si="77"/>
        <v>26996114.613445148</v>
      </c>
    </row>
    <row r="414" spans="1:23" x14ac:dyDescent="0.2">
      <c r="A414" s="6">
        <f t="shared" ca="1" si="81"/>
        <v>58166</v>
      </c>
      <c r="B414" s="12">
        <f t="shared" ca="1" si="82"/>
        <v>4</v>
      </c>
      <c r="C414" s="7">
        <f ca="1">(YEAR(A414)-YEAR('ÖNYP kalkulátor'!$C$10))+(MONTH(CF!A414)-MONTH('ÖNYP kalkulátor'!$C$10)-1)/12</f>
        <v>77.833333333333329</v>
      </c>
      <c r="D414" s="4">
        <f ca="1">(1+VLOOKUP(YEAR(A414),'ÖNYP kalkulátor'!$E$15:$F$75,2,FALSE))^(1/12)-1</f>
        <v>2.4662697723036864E-3</v>
      </c>
      <c r="E414" s="4">
        <f t="shared" ca="1" si="73"/>
        <v>2.7633807064137188</v>
      </c>
      <c r="F414" s="8">
        <f t="shared" ca="1" si="74"/>
        <v>74417009.848991975</v>
      </c>
      <c r="G414" s="8">
        <v>10000</v>
      </c>
      <c r="H414" s="8">
        <v>250000</v>
      </c>
      <c r="I414" s="8">
        <v>500000</v>
      </c>
      <c r="J414" s="8">
        <v>750000</v>
      </c>
      <c r="K414" s="8"/>
      <c r="L414" s="4">
        <f ca="1">+IF('ÖNYP kalkulátor'!$C$16="nem",0,
IF(MONTH(A414)=1,VLOOKUP(YEAR(A414),'ÖNYP kalkulátor'!$E$15:$J$75,4),0))</f>
        <v>0</v>
      </c>
      <c r="M414" s="8">
        <f t="shared" ca="1" si="83"/>
        <v>84415.873631145805</v>
      </c>
      <c r="N414" s="8">
        <f t="shared" ca="1" si="84"/>
        <v>28138.624543715276</v>
      </c>
      <c r="O414" s="8">
        <f t="shared" ca="1" si="78"/>
        <v>450217.99269944429</v>
      </c>
      <c r="P414" s="8">
        <f t="shared" ca="1" si="79"/>
        <v>424807.09306447208</v>
      </c>
      <c r="Q414" s="8">
        <f t="shared" ca="1" si="80"/>
        <v>106926.77326611802</v>
      </c>
      <c r="R414" s="13">
        <v>150000</v>
      </c>
      <c r="S414" s="13">
        <f ca="1">MIN(IF(AND(MONTH(A414)=5,'ÖNYP kalkulátor'!$IU$6="igen"),(M414+N414)*12/(1+IF('ÖNYP kalkulátor'!$C$16="nem",0,VLOOKUP(YEAR(A414),'ÖNYP kalkulátor'!$E$15:$J$75,4)))*0.2,0),R414)</f>
        <v>0</v>
      </c>
      <c r="T414" s="4">
        <f ca="1">(1+VLOOKUP(YEAR(A414),'ÖNYP kalkulátor'!$E$15:$F$75,2,FALSE)+VLOOKUP(YEAR(A414),'ÖNYP kalkulátor'!$E$15:$I$75,5,FALSE))^(1/12)-1</f>
        <v>4.0741237836483535E-3</v>
      </c>
      <c r="U414" s="8">
        <f t="shared" ca="1" si="75"/>
        <v>303619.74264384428</v>
      </c>
      <c r="V414" s="14">
        <f t="shared" ca="1" si="76"/>
        <v>74827556.364901945</v>
      </c>
      <c r="W414" s="8">
        <f t="shared" ca="1" si="77"/>
        <v>27078265.470707517</v>
      </c>
    </row>
    <row r="415" spans="1:23" x14ac:dyDescent="0.2">
      <c r="A415" s="6">
        <f t="shared" ca="1" si="81"/>
        <v>58196</v>
      </c>
      <c r="B415" s="12">
        <f t="shared" ca="1" si="82"/>
        <v>5</v>
      </c>
      <c r="C415" s="7">
        <f ca="1">(YEAR(A415)-YEAR('ÖNYP kalkulátor'!$C$10))+(MONTH(CF!A415)-MONTH('ÖNYP kalkulátor'!$C$10)-1)/12</f>
        <v>77.916666666666671</v>
      </c>
      <c r="D415" s="4">
        <f ca="1">(1+VLOOKUP(YEAR(A415),'ÖNYP kalkulátor'!$E$15:$F$75,2,FALSE))^(1/12)-1</f>
        <v>2.4662697723036864E-3</v>
      </c>
      <c r="E415" s="4">
        <f t="shared" ca="1" si="73"/>
        <v>2.770195948719314</v>
      </c>
      <c r="F415" s="8">
        <f t="shared" ca="1" si="74"/>
        <v>74827556.364901945</v>
      </c>
      <c r="G415" s="8">
        <v>10000</v>
      </c>
      <c r="H415" s="8">
        <v>250000</v>
      </c>
      <c r="I415" s="8">
        <v>500000</v>
      </c>
      <c r="J415" s="8">
        <v>750000</v>
      </c>
      <c r="K415" s="8"/>
      <c r="L415" s="4">
        <f ca="1">+IF('ÖNYP kalkulátor'!$C$16="nem",0,
IF(MONTH(A415)=1,VLOOKUP(YEAR(A415),'ÖNYP kalkulátor'!$E$15:$J$75,4),0))</f>
        <v>0</v>
      </c>
      <c r="M415" s="8">
        <f t="shared" ca="1" si="83"/>
        <v>84415.873631145805</v>
      </c>
      <c r="N415" s="8">
        <f t="shared" ca="1" si="84"/>
        <v>28138.624543715276</v>
      </c>
      <c r="O415" s="8">
        <f t="shared" ca="1" si="78"/>
        <v>562772.49087430537</v>
      </c>
      <c r="P415" s="8">
        <f t="shared" ca="1" si="79"/>
        <v>533617.04105681926</v>
      </c>
      <c r="Q415" s="8">
        <f t="shared" ca="1" si="80"/>
        <v>108809.94799234718</v>
      </c>
      <c r="R415" s="13">
        <v>150000</v>
      </c>
      <c r="S415" s="13">
        <f ca="1">MIN(IF(AND(MONTH(A415)=5,'ÖNYP kalkulátor'!$IU$6="igen"),(M415+N415)*12/(1+IF('ÖNYP kalkulátor'!$C$16="nem",0,VLOOKUP(YEAR(A415),'ÖNYP kalkulátor'!$E$15:$J$75,4)))*0.2,0),R415)</f>
        <v>150000</v>
      </c>
      <c r="T415" s="4">
        <f ca="1">(1+VLOOKUP(YEAR(A415),'ÖNYP kalkulátor'!$E$15:$F$75,2,FALSE)+VLOOKUP(YEAR(A415),'ÖNYP kalkulátor'!$E$15:$I$75,5,FALSE))^(1/12)-1</f>
        <v>4.0741237836483535E-3</v>
      </c>
      <c r="U415" s="8">
        <f t="shared" ca="1" si="75"/>
        <v>305911.15082309511</v>
      </c>
      <c r="V415" s="14">
        <f t="shared" ca="1" si="76"/>
        <v>75392277.463717386</v>
      </c>
      <c r="W415" s="8">
        <f t="shared" ca="1" si="77"/>
        <v>27215503.473164741</v>
      </c>
    </row>
    <row r="416" spans="1:23" x14ac:dyDescent="0.2">
      <c r="A416" s="6">
        <f t="shared" ca="1" si="81"/>
        <v>58227</v>
      </c>
      <c r="B416" s="12">
        <f t="shared" ca="1" si="82"/>
        <v>6</v>
      </c>
      <c r="C416" s="7">
        <f ca="1">(YEAR(A416)-YEAR('ÖNYP kalkulátor'!$C$10))+(MONTH(CF!A416)-MONTH('ÖNYP kalkulátor'!$C$10)-1)/12</f>
        <v>78</v>
      </c>
      <c r="D416" s="4">
        <f ca="1">(1+VLOOKUP(YEAR(A416),'ÖNYP kalkulátor'!$E$15:$F$75,2,FALSE))^(1/12)-1</f>
        <v>2.4662697723036864E-3</v>
      </c>
      <c r="E416" s="4">
        <f t="shared" ca="1" si="73"/>
        <v>2.7770279992509987</v>
      </c>
      <c r="F416" s="8">
        <f t="shared" ca="1" si="74"/>
        <v>75392277.463717386</v>
      </c>
      <c r="G416" s="8">
        <v>10000</v>
      </c>
      <c r="H416" s="8">
        <v>250000</v>
      </c>
      <c r="I416" s="8">
        <v>500000</v>
      </c>
      <c r="J416" s="8">
        <v>750000</v>
      </c>
      <c r="K416" s="8"/>
      <c r="L416" s="4">
        <f ca="1">+IF('ÖNYP kalkulátor'!$C$16="nem",0,
IF(MONTH(A416)=1,VLOOKUP(YEAR(A416),'ÖNYP kalkulátor'!$E$15:$J$75,4),0))</f>
        <v>0</v>
      </c>
      <c r="M416" s="8">
        <f t="shared" ca="1" si="83"/>
        <v>84415.873631145805</v>
      </c>
      <c r="N416" s="8">
        <f t="shared" ca="1" si="84"/>
        <v>28138.624543715276</v>
      </c>
      <c r="O416" s="8">
        <f t="shared" ca="1" si="78"/>
        <v>675326.98904916644</v>
      </c>
      <c r="P416" s="8">
        <f t="shared" ca="1" si="79"/>
        <v>643920.44926818309</v>
      </c>
      <c r="Q416" s="8">
        <f t="shared" ca="1" si="80"/>
        <v>110303.40821136383</v>
      </c>
      <c r="R416" s="13">
        <v>150000</v>
      </c>
      <c r="S416" s="13">
        <f ca="1">MIN(IF(AND(MONTH(A416)=5,'ÖNYP kalkulátor'!$IU$6="igen"),(M416+N416)*12/(1+IF('ÖNYP kalkulátor'!$C$16="nem",0,VLOOKUP(YEAR(A416),'ÖNYP kalkulátor'!$E$15:$J$75,4)))*0.2,0),R416)</f>
        <v>0</v>
      </c>
      <c r="T416" s="4">
        <f ca="1">(1+VLOOKUP(YEAR(A416),'ÖNYP kalkulátor'!$E$15:$F$75,2,FALSE)+VLOOKUP(YEAR(A416),'ÖNYP kalkulátor'!$E$15:$I$75,5,FALSE))^(1/12)-1</f>
        <v>4.0741237836483535E-3</v>
      </c>
      <c r="U416" s="8">
        <f t="shared" ca="1" si="75"/>
        <v>307606.86045715818</v>
      </c>
      <c r="V416" s="14">
        <f t="shared" ca="1" si="76"/>
        <v>75810187.732385904</v>
      </c>
      <c r="W416" s="8">
        <f t="shared" ca="1" si="77"/>
        <v>27299036.14685661</v>
      </c>
    </row>
    <row r="417" spans="1:23" x14ac:dyDescent="0.2">
      <c r="A417" s="6">
        <f t="shared" ca="1" si="81"/>
        <v>58257</v>
      </c>
      <c r="B417" s="12">
        <f t="shared" ca="1" si="82"/>
        <v>7</v>
      </c>
      <c r="C417" s="7">
        <f ca="1">(YEAR(A417)-YEAR('ÖNYP kalkulátor'!$C$10))+(MONTH(CF!A417)-MONTH('ÖNYP kalkulátor'!$C$10)-1)/12</f>
        <v>78.083333333333329</v>
      </c>
      <c r="D417" s="4">
        <f ca="1">(1+VLOOKUP(YEAR(A417),'ÖNYP kalkulátor'!$E$15:$F$75,2,FALSE))^(1/12)-1</f>
        <v>2.4662697723036864E-3</v>
      </c>
      <c r="E417" s="4">
        <f t="shared" ca="1" si="73"/>
        <v>2.7838768994623924</v>
      </c>
      <c r="F417" s="8">
        <f t="shared" ca="1" si="74"/>
        <v>75810187.732385904</v>
      </c>
      <c r="G417" s="8">
        <v>10000</v>
      </c>
      <c r="H417" s="8">
        <v>250000</v>
      </c>
      <c r="I417" s="8">
        <v>500000</v>
      </c>
      <c r="J417" s="8">
        <v>750000</v>
      </c>
      <c r="K417" s="8"/>
      <c r="L417" s="4">
        <f ca="1">+IF('ÖNYP kalkulátor'!$C$16="nem",0,
IF(MONTH(A417)=1,VLOOKUP(YEAR(A417),'ÖNYP kalkulátor'!$E$15:$J$75,4),0))</f>
        <v>0</v>
      </c>
      <c r="M417" s="8">
        <f t="shared" ca="1" si="83"/>
        <v>84415.873631145805</v>
      </c>
      <c r="N417" s="8">
        <f t="shared" ca="1" si="84"/>
        <v>28138.624543715276</v>
      </c>
      <c r="O417" s="8">
        <f t="shared" ca="1" si="78"/>
        <v>787881.48722402751</v>
      </c>
      <c r="P417" s="8">
        <f t="shared" ca="1" si="79"/>
        <v>754792.07978790742</v>
      </c>
      <c r="Q417" s="8">
        <f t="shared" ca="1" si="80"/>
        <v>110871.63051972433</v>
      </c>
      <c r="R417" s="13">
        <v>150000</v>
      </c>
      <c r="S417" s="13">
        <f ca="1">MIN(IF(AND(MONTH(A417)=5,'ÖNYP kalkulátor'!$IU$6="igen"),(M417+N417)*12/(1+IF('ÖNYP kalkulátor'!$C$16="nem",0,VLOOKUP(YEAR(A417),'ÖNYP kalkulátor'!$E$15:$J$75,4)))*0.2,0),R417)</f>
        <v>0</v>
      </c>
      <c r="T417" s="4">
        <f ca="1">(1+VLOOKUP(YEAR(A417),'ÖNYP kalkulátor'!$E$15:$F$75,2,FALSE)+VLOOKUP(YEAR(A417),'ÖNYP kalkulátor'!$E$15:$I$75,5,FALSE))^(1/12)-1</f>
        <v>4.0741237836483535E-3</v>
      </c>
      <c r="U417" s="8">
        <f t="shared" ca="1" si="75"/>
        <v>309311.79363019229</v>
      </c>
      <c r="V417" s="14">
        <f t="shared" ca="1" si="76"/>
        <v>76230371.156535819</v>
      </c>
      <c r="W417" s="8">
        <f t="shared" ca="1" si="77"/>
        <v>27382809.624684565</v>
      </c>
    </row>
    <row r="418" spans="1:23" x14ac:dyDescent="0.2">
      <c r="A418" s="6">
        <f t="shared" ca="1" si="81"/>
        <v>58288</v>
      </c>
      <c r="B418" s="12">
        <f t="shared" ca="1" si="82"/>
        <v>8</v>
      </c>
      <c r="C418" s="7">
        <f ca="1">(YEAR(A418)-YEAR('ÖNYP kalkulátor'!$C$10))+(MONTH(CF!A418)-MONTH('ÖNYP kalkulátor'!$C$10)-1)/12</f>
        <v>78.166666666666671</v>
      </c>
      <c r="D418" s="4">
        <f ca="1">(1+VLOOKUP(YEAR(A418),'ÖNYP kalkulátor'!$E$15:$F$75,2,FALSE))^(1/12)-1</f>
        <v>2.4662697723036864E-3</v>
      </c>
      <c r="E418" s="4">
        <f t="shared" ca="1" si="73"/>
        <v>2.7907426909093509</v>
      </c>
      <c r="F418" s="8">
        <f t="shared" ca="1" si="74"/>
        <v>76230371.156535819</v>
      </c>
      <c r="G418" s="8">
        <v>10000</v>
      </c>
      <c r="H418" s="8">
        <v>250000</v>
      </c>
      <c r="I418" s="8">
        <v>500000</v>
      </c>
      <c r="J418" s="8">
        <v>750000</v>
      </c>
      <c r="K418" s="8"/>
      <c r="L418" s="4">
        <f ca="1">+IF('ÖNYP kalkulátor'!$C$16="nem",0,
IF(MONTH(A418)=1,VLOOKUP(YEAR(A418),'ÖNYP kalkulátor'!$E$15:$J$75,4),0))</f>
        <v>0</v>
      </c>
      <c r="M418" s="8">
        <f t="shared" ca="1" si="83"/>
        <v>84415.873631145805</v>
      </c>
      <c r="N418" s="8">
        <f t="shared" ca="1" si="84"/>
        <v>28138.624543715276</v>
      </c>
      <c r="O418" s="8">
        <f t="shared" ca="1" si="78"/>
        <v>900435.98539888859</v>
      </c>
      <c r="P418" s="8">
        <f t="shared" ca="1" si="79"/>
        <v>866783.8054718941</v>
      </c>
      <c r="Q418" s="8">
        <f t="shared" ca="1" si="80"/>
        <v>111991.72568398667</v>
      </c>
      <c r="R418" s="13">
        <v>150000</v>
      </c>
      <c r="S418" s="13">
        <f ca="1">MIN(IF(AND(MONTH(A418)=5,'ÖNYP kalkulátor'!$IU$6="igen"),(M418+N418)*12/(1+IF('ÖNYP kalkulátor'!$C$16="nem",0,VLOOKUP(YEAR(A418),'ÖNYP kalkulátor'!$E$15:$J$75,4)))*0.2,0),R418)</f>
        <v>0</v>
      </c>
      <c r="T418" s="4">
        <f ca="1">(1+VLOOKUP(YEAR(A418),'ÖNYP kalkulátor'!$E$15:$F$75,2,FALSE)+VLOOKUP(YEAR(A418),'ÖNYP kalkulátor'!$E$15:$I$75,5,FALSE))^(1/12)-1</f>
        <v>4.0741237836483535E-3</v>
      </c>
      <c r="U418" s="8">
        <f t="shared" ca="1" si="75"/>
        <v>311028.23631836497</v>
      </c>
      <c r="V418" s="14">
        <f t="shared" ca="1" si="76"/>
        <v>76653391.118538171</v>
      </c>
      <c r="W418" s="8">
        <f t="shared" ca="1" si="77"/>
        <v>27467022.082770739</v>
      </c>
    </row>
    <row r="419" spans="1:23" x14ac:dyDescent="0.2">
      <c r="A419" s="6">
        <f t="shared" ca="1" si="81"/>
        <v>58319</v>
      </c>
      <c r="B419" s="12">
        <f t="shared" ca="1" si="82"/>
        <v>9</v>
      </c>
      <c r="C419" s="7">
        <f ca="1">(YEAR(A419)-YEAR('ÖNYP kalkulátor'!$C$10))+(MONTH(CF!A419)-MONTH('ÖNYP kalkulátor'!$C$10)-1)/12</f>
        <v>78.25</v>
      </c>
      <c r="D419" s="4">
        <f ca="1">(1+VLOOKUP(YEAR(A419),'ÖNYP kalkulátor'!$E$15:$F$75,2,FALSE))^(1/12)-1</f>
        <v>2.4662697723036864E-3</v>
      </c>
      <c r="E419" s="4">
        <f t="shared" ca="1" si="73"/>
        <v>2.7976254152502182</v>
      </c>
      <c r="F419" s="8">
        <f t="shared" ca="1" si="74"/>
        <v>76653391.118538171</v>
      </c>
      <c r="G419" s="8">
        <v>10000</v>
      </c>
      <c r="H419" s="8">
        <v>250000</v>
      </c>
      <c r="I419" s="8">
        <v>500000</v>
      </c>
      <c r="J419" s="8">
        <v>750000</v>
      </c>
      <c r="K419" s="8"/>
      <c r="L419" s="4">
        <f ca="1">+IF('ÖNYP kalkulátor'!$C$16="nem",0,
IF(MONTH(A419)=1,VLOOKUP(YEAR(A419),'ÖNYP kalkulátor'!$E$15:$J$75,4),0))</f>
        <v>0</v>
      </c>
      <c r="M419" s="8">
        <f t="shared" ca="1" si="83"/>
        <v>84415.873631145805</v>
      </c>
      <c r="N419" s="8">
        <f t="shared" ca="1" si="84"/>
        <v>28138.624543715276</v>
      </c>
      <c r="O419" s="8">
        <f t="shared" ca="1" si="78"/>
        <v>1012990.4835737497</v>
      </c>
      <c r="P419" s="8">
        <f t="shared" ca="1" si="79"/>
        <v>978775.53115588089</v>
      </c>
      <c r="Q419" s="8">
        <f t="shared" ca="1" si="80"/>
        <v>111991.72568398679</v>
      </c>
      <c r="R419" s="13">
        <v>150000</v>
      </c>
      <c r="S419" s="13">
        <f ca="1">MIN(IF(AND(MONTH(A419)=5,'ÖNYP kalkulátor'!$IU$6="igen"),(M419+N419)*12/(1+IF('ÖNYP kalkulátor'!$C$16="nem",0,VLOOKUP(YEAR(A419),'ÖNYP kalkulátor'!$E$15:$J$75,4)))*0.2,0),R419)</f>
        <v>0</v>
      </c>
      <c r="T419" s="4">
        <f ca="1">(1+VLOOKUP(YEAR(A419),'ÖNYP kalkulátor'!$E$15:$F$75,2,FALSE)+VLOOKUP(YEAR(A419),'ÖNYP kalkulátor'!$E$15:$I$75,5,FALSE))^(1/12)-1</f>
        <v>4.0741237836483535E-3</v>
      </c>
      <c r="U419" s="8">
        <f t="shared" ca="1" si="75"/>
        <v>312751.67200651678</v>
      </c>
      <c r="V419" s="14">
        <f t="shared" ca="1" si="76"/>
        <v>77078134.516228676</v>
      </c>
      <c r="W419" s="8">
        <f t="shared" ca="1" si="77"/>
        <v>27551270.479623824</v>
      </c>
    </row>
    <row r="420" spans="1:23" x14ac:dyDescent="0.2">
      <c r="A420" s="6">
        <f t="shared" ca="1" si="81"/>
        <v>58349</v>
      </c>
      <c r="B420" s="12">
        <f t="shared" ca="1" si="82"/>
        <v>10</v>
      </c>
      <c r="C420" s="7">
        <f ca="1">(YEAR(A420)-YEAR('ÖNYP kalkulátor'!$C$10))+(MONTH(CF!A420)-MONTH('ÖNYP kalkulátor'!$C$10)-1)/12</f>
        <v>78.333333333333329</v>
      </c>
      <c r="D420" s="4">
        <f ca="1">(1+VLOOKUP(YEAR(A420),'ÖNYP kalkulátor'!$E$15:$F$75,2,FALSE))^(1/12)-1</f>
        <v>2.4662697723036864E-3</v>
      </c>
      <c r="E420" s="4">
        <f t="shared" ca="1" si="73"/>
        <v>2.8045251142460783</v>
      </c>
      <c r="F420" s="8">
        <f t="shared" ca="1" si="74"/>
        <v>77078134.516228676</v>
      </c>
      <c r="G420" s="8">
        <v>10000</v>
      </c>
      <c r="H420" s="8">
        <v>250000</v>
      </c>
      <c r="I420" s="8">
        <v>500000</v>
      </c>
      <c r="J420" s="8">
        <v>750000</v>
      </c>
      <c r="K420" s="8"/>
      <c r="L420" s="4">
        <f ca="1">+IF('ÖNYP kalkulátor'!$C$16="nem",0,
IF(MONTH(A420)=1,VLOOKUP(YEAR(A420),'ÖNYP kalkulátor'!$E$15:$J$75,4),0))</f>
        <v>0</v>
      </c>
      <c r="M420" s="8">
        <f t="shared" ca="1" si="83"/>
        <v>84415.873631145805</v>
      </c>
      <c r="N420" s="8">
        <f t="shared" ca="1" si="84"/>
        <v>28138.624543715276</v>
      </c>
      <c r="O420" s="8">
        <f t="shared" ca="1" si="78"/>
        <v>1125544.9817486107</v>
      </c>
      <c r="P420" s="8">
        <f t="shared" ca="1" si="79"/>
        <v>1090767.2568398677</v>
      </c>
      <c r="Q420" s="8">
        <f t="shared" ca="1" si="80"/>
        <v>111991.72568398679</v>
      </c>
      <c r="R420" s="13">
        <v>150000</v>
      </c>
      <c r="S420" s="13">
        <f ca="1">MIN(IF(AND(MONTH(A420)=5,'ÖNYP kalkulátor'!$IU$6="igen"),(M420+N420)*12/(1+IF('ÖNYP kalkulátor'!$C$16="nem",0,VLOOKUP(YEAR(A420),'ÖNYP kalkulátor'!$E$15:$J$75,4)))*0.2,0),R420)</f>
        <v>0</v>
      </c>
      <c r="T420" s="4">
        <f ca="1">(1+VLOOKUP(YEAR(A420),'ÖNYP kalkulátor'!$E$15:$F$75,2,FALSE)+VLOOKUP(YEAR(A420),'ÖNYP kalkulátor'!$E$15:$I$75,5,FALSE))^(1/12)-1</f>
        <v>4.0741237836483535E-3</v>
      </c>
      <c r="U420" s="8">
        <f t="shared" ca="1" si="75"/>
        <v>314482.12918499525</v>
      </c>
      <c r="V420" s="14">
        <f t="shared" ca="1" si="76"/>
        <v>77504608.371097654</v>
      </c>
      <c r="W420" s="8">
        <f t="shared" ca="1" si="77"/>
        <v>27635555.116764463</v>
      </c>
    </row>
    <row r="421" spans="1:23" x14ac:dyDescent="0.2">
      <c r="A421" s="6">
        <f t="shared" ca="1" si="81"/>
        <v>58380</v>
      </c>
      <c r="B421" s="12">
        <f t="shared" ca="1" si="82"/>
        <v>11</v>
      </c>
      <c r="C421" s="7">
        <f ca="1">(YEAR(A421)-YEAR('ÖNYP kalkulátor'!$C$10))+(MONTH(CF!A421)-MONTH('ÖNYP kalkulátor'!$C$10)-1)/12</f>
        <v>78.416666666666671</v>
      </c>
      <c r="D421" s="4">
        <f ca="1">(1+VLOOKUP(YEAR(A421),'ÖNYP kalkulátor'!$E$15:$F$75,2,FALSE))^(1/12)-1</f>
        <v>2.4662697723036864E-3</v>
      </c>
      <c r="E421" s="4">
        <f t="shared" ca="1" si="73"/>
        <v>2.81144182976101</v>
      </c>
      <c r="F421" s="8">
        <f t="shared" ca="1" si="74"/>
        <v>77504608.371097654</v>
      </c>
      <c r="G421" s="8">
        <v>10000</v>
      </c>
      <c r="H421" s="8">
        <v>250000</v>
      </c>
      <c r="I421" s="8">
        <v>500000</v>
      </c>
      <c r="J421" s="8">
        <v>750000</v>
      </c>
      <c r="K421" s="8"/>
      <c r="L421" s="4">
        <f ca="1">+IF('ÖNYP kalkulátor'!$C$16="nem",0,
IF(MONTH(A421)=1,VLOOKUP(YEAR(A421),'ÖNYP kalkulátor'!$E$15:$J$75,4),0))</f>
        <v>0</v>
      </c>
      <c r="M421" s="8">
        <f t="shared" ca="1" si="83"/>
        <v>84415.873631145805</v>
      </c>
      <c r="N421" s="8">
        <f t="shared" ca="1" si="84"/>
        <v>28138.624543715276</v>
      </c>
      <c r="O421" s="8">
        <f t="shared" ca="1" si="78"/>
        <v>1238099.4799234718</v>
      </c>
      <c r="P421" s="8">
        <f t="shared" ca="1" si="79"/>
        <v>1202758.9825238544</v>
      </c>
      <c r="Q421" s="8">
        <f t="shared" ca="1" si="80"/>
        <v>111991.72568398667</v>
      </c>
      <c r="R421" s="13">
        <v>150000</v>
      </c>
      <c r="S421" s="13">
        <f ca="1">MIN(IF(AND(MONTH(A421)=5,'ÖNYP kalkulátor'!$IU$6="igen"),(M421+N421)*12/(1+IF('ÖNYP kalkulátor'!$C$16="nem",0,VLOOKUP(YEAR(A421),'ÖNYP kalkulátor'!$E$15:$J$75,4)))*0.2,0),R421)</f>
        <v>0</v>
      </c>
      <c r="T421" s="4">
        <f ca="1">(1+VLOOKUP(YEAR(A421),'ÖNYP kalkulátor'!$E$15:$F$75,2,FALSE)+VLOOKUP(YEAR(A421),'ÖNYP kalkulátor'!$E$15:$I$75,5,FALSE))^(1/12)-1</f>
        <v>4.0741237836483535E-3</v>
      </c>
      <c r="U421" s="8">
        <f t="shared" ca="1" si="75"/>
        <v>316219.6364602212</v>
      </c>
      <c r="V421" s="14">
        <f t="shared" ca="1" si="76"/>
        <v>77932819.733241856</v>
      </c>
      <c r="W421" s="8">
        <f t="shared" ca="1" si="77"/>
        <v>27719876.29559692</v>
      </c>
    </row>
    <row r="422" spans="1:23" x14ac:dyDescent="0.2">
      <c r="A422" s="6">
        <f t="shared" ca="1" si="81"/>
        <v>58410</v>
      </c>
      <c r="B422" s="12">
        <f t="shared" ca="1" si="82"/>
        <v>12</v>
      </c>
      <c r="C422" s="7">
        <f ca="1">(YEAR(A422)-YEAR('ÖNYP kalkulátor'!$C$10))+(MONTH(CF!A422)-MONTH('ÖNYP kalkulátor'!$C$10)-1)/12</f>
        <v>78.5</v>
      </c>
      <c r="D422" s="4">
        <f ca="1">(1+VLOOKUP(YEAR(A422),'ÖNYP kalkulátor'!$E$15:$F$75,2,FALSE))^(1/12)-1</f>
        <v>2.4662697723036864E-3</v>
      </c>
      <c r="E422" s="4">
        <f t="shared" ca="1" si="73"/>
        <v>2.8183756037623398</v>
      </c>
      <c r="F422" s="8">
        <f t="shared" ca="1" si="74"/>
        <v>77932819.733241856</v>
      </c>
      <c r="G422" s="8">
        <v>10000</v>
      </c>
      <c r="H422" s="8">
        <v>250000</v>
      </c>
      <c r="I422" s="8">
        <v>500000</v>
      </c>
      <c r="J422" s="8">
        <v>750000</v>
      </c>
      <c r="K422" s="8"/>
      <c r="L422" s="4">
        <f ca="1">+IF('ÖNYP kalkulátor'!$C$16="nem",0,
IF(MONTH(A422)=1,VLOOKUP(YEAR(A422),'ÖNYP kalkulátor'!$E$15:$J$75,4),0))</f>
        <v>0</v>
      </c>
      <c r="M422" s="8">
        <f t="shared" ca="1" si="83"/>
        <v>84415.873631145805</v>
      </c>
      <c r="N422" s="8">
        <f t="shared" ca="1" si="84"/>
        <v>28138.624543715276</v>
      </c>
      <c r="O422" s="8">
        <f t="shared" ca="1" si="78"/>
        <v>1350653.9780983329</v>
      </c>
      <c r="P422" s="8">
        <f t="shared" ca="1" si="79"/>
        <v>1314750.7082078413</v>
      </c>
      <c r="Q422" s="8">
        <f t="shared" ca="1" si="80"/>
        <v>111991.72568398691</v>
      </c>
      <c r="R422" s="13">
        <v>150000</v>
      </c>
      <c r="S422" s="13">
        <f ca="1">MIN(IF(AND(MONTH(A422)=5,'ÖNYP kalkulátor'!$IU$6="igen"),(M422+N422)*12/(1+IF('ÖNYP kalkulátor'!$C$16="nem",0,VLOOKUP(YEAR(A422),'ÖNYP kalkulátor'!$E$15:$J$75,4)))*0.2,0),R422)</f>
        <v>0</v>
      </c>
      <c r="T422" s="4">
        <f ca="1">(1+VLOOKUP(YEAR(A422),'ÖNYP kalkulátor'!$E$15:$F$75,2,FALSE)+VLOOKUP(YEAR(A422),'ÖNYP kalkulátor'!$E$15:$I$75,5,FALSE))^(1/12)-1</f>
        <v>4.0741237836483535E-3</v>
      </c>
      <c r="U422" s="8">
        <f t="shared" ca="1" si="75"/>
        <v>317964.22255516134</v>
      </c>
      <c r="V422" s="14">
        <f t="shared" ca="1" si="76"/>
        <v>78362775.681481004</v>
      </c>
      <c r="W422" s="8">
        <f t="shared" ca="1" si="77"/>
        <v>27804234.317410365</v>
      </c>
    </row>
    <row r="423" spans="1:23" x14ac:dyDescent="0.2">
      <c r="A423" s="6">
        <f t="shared" ca="1" si="81"/>
        <v>58441</v>
      </c>
      <c r="B423" s="12">
        <f t="shared" ca="1" si="82"/>
        <v>1</v>
      </c>
      <c r="C423" s="7">
        <f ca="1">(YEAR(A423)-YEAR('ÖNYP kalkulátor'!$C$10))+(MONTH(CF!A423)-MONTH('ÖNYP kalkulátor'!$C$10)-1)/12</f>
        <v>78.583333333333329</v>
      </c>
      <c r="D423" s="4">
        <f ca="1">(1+VLOOKUP(YEAR(A423),'ÖNYP kalkulátor'!$E$15:$F$75,2,FALSE))^(1/12)-1</f>
        <v>2.4662697723036864E-3</v>
      </c>
      <c r="E423" s="4">
        <f t="shared" ref="E423:E479" ca="1" si="85">E422*(1+D422)</f>
        <v>2.8253264783208971</v>
      </c>
      <c r="F423" s="8">
        <f t="shared" ref="F423:F479" ca="1" si="86">+V422</f>
        <v>78362775.681481004</v>
      </c>
      <c r="G423" s="8">
        <v>10000</v>
      </c>
      <c r="H423" s="8">
        <v>250000</v>
      </c>
      <c r="I423" s="8">
        <v>500000</v>
      </c>
      <c r="J423" s="8">
        <v>750000</v>
      </c>
      <c r="K423" s="8"/>
      <c r="L423" s="4">
        <f ca="1">+IF('ÖNYP kalkulátor'!$C$16="nem",0,
IF(MONTH(A423)=1,VLOOKUP(YEAR(A423),'ÖNYP kalkulátor'!$E$15:$J$75,4),0))</f>
        <v>0.03</v>
      </c>
      <c r="M423" s="8">
        <f t="shared" ca="1" si="83"/>
        <v>86948.349840080176</v>
      </c>
      <c r="N423" s="8">
        <f t="shared" ca="1" si="84"/>
        <v>28982.783280026735</v>
      </c>
      <c r="O423" s="8">
        <f t="shared" ca="1" si="78"/>
        <v>115931.13312010691</v>
      </c>
      <c r="P423" s="8">
        <f t="shared" ca="1" si="79"/>
        <v>108575.26513290049</v>
      </c>
      <c r="Q423" s="8">
        <f t="shared" ca="1" si="80"/>
        <v>108575.26513290049</v>
      </c>
      <c r="R423" s="13">
        <v>150000</v>
      </c>
      <c r="S423" s="13">
        <f ca="1">MIN(IF(AND(MONTH(A423)=5,'ÖNYP kalkulátor'!$IU$6="igen"),(M423+N423)*12/(1+IF('ÖNYP kalkulátor'!$C$16="nem",0,VLOOKUP(YEAR(A423),'ÖNYP kalkulátor'!$E$15:$J$75,4)))*0.2,0),R423)</f>
        <v>0</v>
      </c>
      <c r="T423" s="4">
        <f ca="1">(1+VLOOKUP(YEAR(A423),'ÖNYP kalkulátor'!$E$15:$F$75,2,FALSE)+VLOOKUP(YEAR(A423),'ÖNYP kalkulátor'!$E$15:$I$75,5,FALSE))^(1/12)-1</f>
        <v>4.0741237836483535E-3</v>
      </c>
      <c r="U423" s="8">
        <f t="shared" ca="1" si="75"/>
        <v>319701.99722661648</v>
      </c>
      <c r="V423" s="14">
        <f t="shared" ca="1" si="76"/>
        <v>78791052.943840519</v>
      </c>
      <c r="W423" s="8">
        <f t="shared" ca="1" si="77"/>
        <v>27887415.330021031</v>
      </c>
    </row>
    <row r="424" spans="1:23" x14ac:dyDescent="0.2">
      <c r="A424" s="6">
        <f t="shared" ca="1" si="81"/>
        <v>58472</v>
      </c>
      <c r="B424" s="12">
        <f t="shared" ca="1" si="82"/>
        <v>2</v>
      </c>
      <c r="C424" s="7">
        <f ca="1">(YEAR(A424)-YEAR('ÖNYP kalkulátor'!$C$10))+(MONTH(CF!A424)-MONTH('ÖNYP kalkulátor'!$C$10)-1)/12</f>
        <v>78.666666666666671</v>
      </c>
      <c r="D424" s="4">
        <f ca="1">(1+VLOOKUP(YEAR(A424),'ÖNYP kalkulátor'!$E$15:$F$75,2,FALSE))^(1/12)-1</f>
        <v>2.4662697723036864E-3</v>
      </c>
      <c r="E424" s="4">
        <f t="shared" ca="1" si="85"/>
        <v>2.832294495611269</v>
      </c>
      <c r="F424" s="8">
        <f t="shared" ca="1" si="86"/>
        <v>78791052.943840519</v>
      </c>
      <c r="G424" s="8">
        <v>10000</v>
      </c>
      <c r="H424" s="8">
        <v>250000</v>
      </c>
      <c r="I424" s="8">
        <v>500000</v>
      </c>
      <c r="J424" s="8">
        <v>750000</v>
      </c>
      <c r="K424" s="8"/>
      <c r="L424" s="4">
        <f ca="1">+IF('ÖNYP kalkulátor'!$C$16="nem",0,
IF(MONTH(A424)=1,VLOOKUP(YEAR(A424),'ÖNYP kalkulátor'!$E$15:$J$75,4),0))</f>
        <v>0</v>
      </c>
      <c r="M424" s="8">
        <f t="shared" ca="1" si="83"/>
        <v>86948.349840080176</v>
      </c>
      <c r="N424" s="8">
        <f t="shared" ca="1" si="84"/>
        <v>28982.783280026735</v>
      </c>
      <c r="O424" s="8">
        <f t="shared" ca="1" si="78"/>
        <v>231862.26624021382</v>
      </c>
      <c r="P424" s="8">
        <f t="shared" ca="1" si="79"/>
        <v>217550.53026580098</v>
      </c>
      <c r="Q424" s="8">
        <f t="shared" ca="1" si="80"/>
        <v>108975.26513290049</v>
      </c>
      <c r="R424" s="13">
        <v>150000</v>
      </c>
      <c r="S424" s="13">
        <f ca="1">MIN(IF(AND(MONTH(A424)=5,'ÖNYP kalkulátor'!$IU$6="igen"),(M424+N424)*12/(1+IF('ÖNYP kalkulátor'!$C$16="nem",0,VLOOKUP(YEAR(A424),'ÖNYP kalkulátor'!$E$15:$J$75,4)))*0.2,0),R424)</f>
        <v>0</v>
      </c>
      <c r="T424" s="4">
        <f ca="1">(1+VLOOKUP(YEAR(A424),'ÖNYP kalkulátor'!$E$15:$F$75,2,FALSE)+VLOOKUP(YEAR(A424),'ÖNYP kalkulátor'!$E$15:$I$75,5,FALSE))^(1/12)-1</f>
        <v>4.0741237836483535E-3</v>
      </c>
      <c r="U424" s="8">
        <f t="shared" ca="1" si="75"/>
        <v>321448.48145670461</v>
      </c>
      <c r="V424" s="14">
        <f t="shared" ca="1" si="76"/>
        <v>79221476.690430135</v>
      </c>
      <c r="W424" s="8">
        <f t="shared" ca="1" si="77"/>
        <v>27970776.631168246</v>
      </c>
    </row>
    <row r="425" spans="1:23" x14ac:dyDescent="0.2">
      <c r="A425" s="6">
        <f t="shared" ca="1" si="81"/>
        <v>58501</v>
      </c>
      <c r="B425" s="12">
        <f t="shared" ca="1" si="82"/>
        <v>3</v>
      </c>
      <c r="C425" s="7">
        <f ca="1">(YEAR(A425)-YEAR('ÖNYP kalkulátor'!$C$10))+(MONTH(CF!A425)-MONTH('ÖNYP kalkulátor'!$C$10)-1)/12</f>
        <v>78.75</v>
      </c>
      <c r="D425" s="4">
        <f ca="1">(1+VLOOKUP(YEAR(A425),'ÖNYP kalkulátor'!$E$15:$F$75,2,FALSE))^(1/12)-1</f>
        <v>2.4662697723036864E-3</v>
      </c>
      <c r="E425" s="4">
        <f t="shared" ca="1" si="85"/>
        <v>2.8392796979120574</v>
      </c>
      <c r="F425" s="8">
        <f t="shared" ca="1" si="86"/>
        <v>79221476.690430135</v>
      </c>
      <c r="G425" s="8">
        <v>10000</v>
      </c>
      <c r="H425" s="8">
        <v>250000</v>
      </c>
      <c r="I425" s="8">
        <v>500000</v>
      </c>
      <c r="J425" s="8">
        <v>750000</v>
      </c>
      <c r="K425" s="8"/>
      <c r="L425" s="4">
        <f ca="1">+IF('ÖNYP kalkulátor'!$C$16="nem",0,
IF(MONTH(A425)=1,VLOOKUP(YEAR(A425),'ÖNYP kalkulátor'!$E$15:$J$75,4),0))</f>
        <v>0</v>
      </c>
      <c r="M425" s="8">
        <f t="shared" ca="1" si="83"/>
        <v>86948.349840080176</v>
      </c>
      <c r="N425" s="8">
        <f t="shared" ca="1" si="84"/>
        <v>28982.783280026735</v>
      </c>
      <c r="O425" s="8">
        <f t="shared" ca="1" si="78"/>
        <v>347793.39936032076</v>
      </c>
      <c r="P425" s="8">
        <f t="shared" ca="1" si="79"/>
        <v>327503.72939230473</v>
      </c>
      <c r="Q425" s="8">
        <f t="shared" ca="1" si="80"/>
        <v>109953.19912650375</v>
      </c>
      <c r="R425" s="13">
        <v>150000</v>
      </c>
      <c r="S425" s="13">
        <f ca="1">MIN(IF(AND(MONTH(A425)=5,'ÖNYP kalkulátor'!$IU$6="igen"),(M425+N425)*12/(1+IF('ÖNYP kalkulátor'!$C$16="nem",0,VLOOKUP(YEAR(A425),'ÖNYP kalkulátor'!$E$15:$J$75,4)))*0.2,0),R425)</f>
        <v>0</v>
      </c>
      <c r="T425" s="4">
        <f ca="1">(1+VLOOKUP(YEAR(A425),'ÖNYP kalkulátor'!$E$15:$F$75,2,FALSE)+VLOOKUP(YEAR(A425),'ÖNYP kalkulátor'!$E$15:$I$75,5,FALSE))^(1/12)-1</f>
        <v>4.0741237836483535E-3</v>
      </c>
      <c r="U425" s="8">
        <f t="shared" ca="1" si="75"/>
        <v>323206.06530387455</v>
      </c>
      <c r="V425" s="14">
        <f t="shared" ca="1" si="76"/>
        <v>79654635.954860508</v>
      </c>
      <c r="W425" s="8">
        <f t="shared" ca="1" si="77"/>
        <v>28054522.424626481</v>
      </c>
    </row>
    <row r="426" spans="1:23" x14ac:dyDescent="0.2">
      <c r="A426" s="6">
        <f t="shared" ca="1" si="81"/>
        <v>58532</v>
      </c>
      <c r="B426" s="12">
        <f t="shared" ca="1" si="82"/>
        <v>4</v>
      </c>
      <c r="C426" s="7">
        <f ca="1">(YEAR(A426)-YEAR('ÖNYP kalkulátor'!$C$10))+(MONTH(CF!A426)-MONTH('ÖNYP kalkulátor'!$C$10)-1)/12</f>
        <v>78.833333333333329</v>
      </c>
      <c r="D426" s="4">
        <f ca="1">(1+VLOOKUP(YEAR(A426),'ÖNYP kalkulátor'!$E$15:$F$75,2,FALSE))^(1/12)-1</f>
        <v>2.4662697723036864E-3</v>
      </c>
      <c r="E426" s="4">
        <f t="shared" ca="1" si="85"/>
        <v>2.8462821276061332</v>
      </c>
      <c r="F426" s="8">
        <f t="shared" ca="1" si="86"/>
        <v>79654635.954860508</v>
      </c>
      <c r="G426" s="8">
        <v>10000</v>
      </c>
      <c r="H426" s="8">
        <v>250000</v>
      </c>
      <c r="I426" s="8">
        <v>500000</v>
      </c>
      <c r="J426" s="8">
        <v>750000</v>
      </c>
      <c r="K426" s="8"/>
      <c r="L426" s="4">
        <f ca="1">+IF('ÖNYP kalkulátor'!$C$16="nem",0,
IF(MONTH(A426)=1,VLOOKUP(YEAR(A426),'ÖNYP kalkulátor'!$E$15:$J$75,4),0))</f>
        <v>0</v>
      </c>
      <c r="M426" s="8">
        <f t="shared" ca="1" si="83"/>
        <v>86948.349840080176</v>
      </c>
      <c r="N426" s="8">
        <f t="shared" ca="1" si="84"/>
        <v>28982.783280026735</v>
      </c>
      <c r="O426" s="8">
        <f t="shared" ca="1" si="78"/>
        <v>463724.5324804277</v>
      </c>
      <c r="P426" s="8">
        <f t="shared" ca="1" si="79"/>
        <v>437638.30585640634</v>
      </c>
      <c r="Q426" s="8">
        <f t="shared" ca="1" si="80"/>
        <v>110134.57646410161</v>
      </c>
      <c r="R426" s="13">
        <v>150000</v>
      </c>
      <c r="S426" s="13">
        <f ca="1">MIN(IF(AND(MONTH(A426)=5,'ÖNYP kalkulátor'!$IU$6="igen"),(M426+N426)*12/(1+IF('ÖNYP kalkulátor'!$C$16="nem",0,VLOOKUP(YEAR(A426),'ÖNYP kalkulátor'!$E$15:$J$75,4)))*0.2,0),R426)</f>
        <v>0</v>
      </c>
      <c r="T426" s="4">
        <f ca="1">(1+VLOOKUP(YEAR(A426),'ÖNYP kalkulátor'!$E$15:$F$75,2,FALSE)+VLOOKUP(YEAR(A426),'ÖNYP kalkulátor'!$E$15:$I$75,5,FALSE))^(1/12)-1</f>
        <v>4.0741237836483535E-3</v>
      </c>
      <c r="U426" s="8">
        <f t="shared" ca="1" si="75"/>
        <v>324971.54871892289</v>
      </c>
      <c r="V426" s="14">
        <f t="shared" ca="1" si="76"/>
        <v>80089742.080043539</v>
      </c>
      <c r="W426" s="8">
        <f t="shared" ca="1" si="77"/>
        <v>28138370.860447012</v>
      </c>
    </row>
    <row r="427" spans="1:23" x14ac:dyDescent="0.2">
      <c r="A427" s="6">
        <f t="shared" ca="1" si="81"/>
        <v>58562</v>
      </c>
      <c r="B427" s="12">
        <f t="shared" ca="1" si="82"/>
        <v>5</v>
      </c>
      <c r="C427" s="7">
        <f ca="1">(YEAR(A427)-YEAR('ÖNYP kalkulátor'!$C$10))+(MONTH(CF!A427)-MONTH('ÖNYP kalkulátor'!$C$10)-1)/12</f>
        <v>78.916666666666671</v>
      </c>
      <c r="D427" s="4">
        <f ca="1">(1+VLOOKUP(YEAR(A427),'ÖNYP kalkulátor'!$E$15:$F$75,2,FALSE))^(1/12)-1</f>
        <v>2.4662697723036864E-3</v>
      </c>
      <c r="E427" s="4">
        <f t="shared" ca="1" si="85"/>
        <v>2.8533018271808963</v>
      </c>
      <c r="F427" s="8">
        <f t="shared" ca="1" si="86"/>
        <v>80089742.080043539</v>
      </c>
      <c r="G427" s="8">
        <v>10000</v>
      </c>
      <c r="H427" s="8">
        <v>250000</v>
      </c>
      <c r="I427" s="8">
        <v>500000</v>
      </c>
      <c r="J427" s="8">
        <v>750000</v>
      </c>
      <c r="K427" s="8"/>
      <c r="L427" s="4">
        <f ca="1">+IF('ÖNYP kalkulátor'!$C$16="nem",0,
IF(MONTH(A427)=1,VLOOKUP(YEAR(A427),'ÖNYP kalkulátor'!$E$15:$J$75,4),0))</f>
        <v>0</v>
      </c>
      <c r="M427" s="8">
        <f t="shared" ca="1" si="83"/>
        <v>86948.349840080176</v>
      </c>
      <c r="N427" s="8">
        <f t="shared" ca="1" si="84"/>
        <v>28982.783280026735</v>
      </c>
      <c r="O427" s="8">
        <f t="shared" ca="1" si="78"/>
        <v>579655.66560053464</v>
      </c>
      <c r="P427" s="8">
        <f t="shared" ca="1" si="79"/>
        <v>550162.55228852399</v>
      </c>
      <c r="Q427" s="8">
        <f t="shared" ca="1" si="80"/>
        <v>112524.24643211765</v>
      </c>
      <c r="R427" s="13">
        <v>150000</v>
      </c>
      <c r="S427" s="13">
        <f ca="1">MIN(IF(AND(MONTH(A427)=5,'ÖNYP kalkulátor'!$IU$6="igen"),(M427+N427)*12/(1+IF('ÖNYP kalkulátor'!$C$16="nem",0,VLOOKUP(YEAR(A427),'ÖNYP kalkulátor'!$E$15:$J$75,4)))*0.2,0),R427)</f>
        <v>150000</v>
      </c>
      <c r="T427" s="4">
        <f ca="1">(1+VLOOKUP(YEAR(A427),'ÖNYP kalkulátor'!$E$15:$F$75,2,FALSE)+VLOOKUP(YEAR(A427),'ÖNYP kalkulátor'!$E$15:$I$75,5,FALSE))^(1/12)-1</f>
        <v>4.0741237836483535E-3</v>
      </c>
      <c r="U427" s="8">
        <f t="shared" ca="1" si="75"/>
        <v>327365.07931074116</v>
      </c>
      <c r="V427" s="14">
        <f t="shared" ca="1" si="76"/>
        <v>80679631.405786395</v>
      </c>
      <c r="W427" s="8">
        <f t="shared" ca="1" si="77"/>
        <v>28275883.973164886</v>
      </c>
    </row>
    <row r="428" spans="1:23" x14ac:dyDescent="0.2">
      <c r="A428" s="6">
        <f t="shared" ca="1" si="81"/>
        <v>58593</v>
      </c>
      <c r="B428" s="12">
        <f t="shared" ca="1" si="82"/>
        <v>6</v>
      </c>
      <c r="C428" s="7">
        <f ca="1">(YEAR(A428)-YEAR('ÖNYP kalkulátor'!$C$10))+(MONTH(CF!A428)-MONTH('ÖNYP kalkulátor'!$C$10)-1)/12</f>
        <v>79</v>
      </c>
      <c r="D428" s="4">
        <f ca="1">(1+VLOOKUP(YEAR(A428),'ÖNYP kalkulátor'!$E$15:$F$75,2,FALSE))^(1/12)-1</f>
        <v>2.4662697723036864E-3</v>
      </c>
      <c r="E428" s="4">
        <f t="shared" ca="1" si="85"/>
        <v>2.8603388392285316</v>
      </c>
      <c r="F428" s="8">
        <f t="shared" ca="1" si="86"/>
        <v>80679631.405786395</v>
      </c>
      <c r="G428" s="8">
        <v>10000</v>
      </c>
      <c r="H428" s="8">
        <v>250000</v>
      </c>
      <c r="I428" s="8">
        <v>500000</v>
      </c>
      <c r="J428" s="8">
        <v>750000</v>
      </c>
      <c r="K428" s="8"/>
      <c r="L428" s="4">
        <f ca="1">+IF('ÖNYP kalkulátor'!$C$16="nem",0,
IF(MONTH(A428)=1,VLOOKUP(YEAR(A428),'ÖNYP kalkulátor'!$E$15:$J$75,4),0))</f>
        <v>0</v>
      </c>
      <c r="M428" s="8">
        <f t="shared" ca="1" si="83"/>
        <v>86948.349840080176</v>
      </c>
      <c r="N428" s="8">
        <f t="shared" ca="1" si="84"/>
        <v>28982.783280026735</v>
      </c>
      <c r="O428" s="8">
        <f t="shared" ca="1" si="78"/>
        <v>695586.79872064153</v>
      </c>
      <c r="P428" s="8">
        <f t="shared" ca="1" si="79"/>
        <v>663775.06274622865</v>
      </c>
      <c r="Q428" s="8">
        <f t="shared" ca="1" si="80"/>
        <v>113612.51045770466</v>
      </c>
      <c r="R428" s="13">
        <v>150000</v>
      </c>
      <c r="S428" s="13">
        <f ca="1">MIN(IF(AND(MONTH(A428)=5,'ÖNYP kalkulátor'!$IU$6="igen"),(M428+N428)*12/(1+IF('ÖNYP kalkulátor'!$C$16="nem",0,VLOOKUP(YEAR(A428),'ÖNYP kalkulátor'!$E$15:$J$75,4)))*0.2,0),R428)</f>
        <v>0</v>
      </c>
      <c r="T428" s="4">
        <f ca="1">(1+VLOOKUP(YEAR(A428),'ÖNYP kalkulátor'!$E$15:$F$75,2,FALSE)+VLOOKUP(YEAR(A428),'ÖNYP kalkulátor'!$E$15:$I$75,5,FALSE))^(1/12)-1</f>
        <v>4.0741237836483535E-3</v>
      </c>
      <c r="U428" s="8">
        <f t="shared" ca="1" si="75"/>
        <v>329161.67659727274</v>
      </c>
      <c r="V428" s="14">
        <f t="shared" ca="1" si="76"/>
        <v>81122405.592841372</v>
      </c>
      <c r="W428" s="8">
        <f t="shared" ca="1" si="77"/>
        <v>28361117.389407292</v>
      </c>
    </row>
    <row r="429" spans="1:23" x14ac:dyDescent="0.2">
      <c r="A429" s="6">
        <f t="shared" ca="1" si="81"/>
        <v>58623</v>
      </c>
      <c r="B429" s="12">
        <f t="shared" ca="1" si="82"/>
        <v>7</v>
      </c>
      <c r="C429" s="7">
        <f ca="1">(YEAR(A429)-YEAR('ÖNYP kalkulátor'!$C$10))+(MONTH(CF!A429)-MONTH('ÖNYP kalkulátor'!$C$10)-1)/12</f>
        <v>79.083333333333329</v>
      </c>
      <c r="D429" s="4">
        <f ca="1">(1+VLOOKUP(YEAR(A429),'ÖNYP kalkulátor'!$E$15:$F$75,2,FALSE))^(1/12)-1</f>
        <v>2.4662697723036864E-3</v>
      </c>
      <c r="E429" s="4">
        <f t="shared" ca="1" si="85"/>
        <v>2.8673932064462671</v>
      </c>
      <c r="F429" s="8">
        <f t="shared" ca="1" si="86"/>
        <v>81122405.592841372</v>
      </c>
      <c r="G429" s="8">
        <v>10000</v>
      </c>
      <c r="H429" s="8">
        <v>250000</v>
      </c>
      <c r="I429" s="8">
        <v>500000</v>
      </c>
      <c r="J429" s="8">
        <v>750000</v>
      </c>
      <c r="K429" s="8"/>
      <c r="L429" s="4">
        <f ca="1">+IF('ÖNYP kalkulátor'!$C$16="nem",0,
IF(MONTH(A429)=1,VLOOKUP(YEAR(A429),'ÖNYP kalkulátor'!$E$15:$J$75,4),0))</f>
        <v>0</v>
      </c>
      <c r="M429" s="8">
        <f t="shared" ca="1" si="83"/>
        <v>86948.349840080176</v>
      </c>
      <c r="N429" s="8">
        <f t="shared" ca="1" si="84"/>
        <v>28982.783280026735</v>
      </c>
      <c r="O429" s="8">
        <f t="shared" ca="1" si="78"/>
        <v>811517.93184074841</v>
      </c>
      <c r="P429" s="8">
        <f t="shared" ca="1" si="79"/>
        <v>778310.34218154463</v>
      </c>
      <c r="Q429" s="8">
        <f t="shared" ca="1" si="80"/>
        <v>114535.27943531598</v>
      </c>
      <c r="R429" s="13">
        <v>150000</v>
      </c>
      <c r="S429" s="13">
        <f ca="1">MIN(IF(AND(MONTH(A429)=5,'ÖNYP kalkulátor'!$IU$6="igen"),(M429+N429)*12/(1+IF('ÖNYP kalkulátor'!$C$16="nem",0,VLOOKUP(YEAR(A429),'ÖNYP kalkulátor'!$E$15:$J$75,4)))*0.2,0),R429)</f>
        <v>0</v>
      </c>
      <c r="T429" s="4">
        <f ca="1">(1+VLOOKUP(YEAR(A429),'ÖNYP kalkulátor'!$E$15:$F$75,2,FALSE)+VLOOKUP(YEAR(A429),'ÖNYP kalkulátor'!$E$15:$I$75,5,FALSE))^(1/12)-1</f>
        <v>4.0741237836483535E-3</v>
      </c>
      <c r="U429" s="8">
        <f t="shared" ca="1" si="75"/>
        <v>330969.3529185775</v>
      </c>
      <c r="V429" s="14">
        <f t="shared" ca="1" si="76"/>
        <v>81567910.225195274</v>
      </c>
      <c r="W429" s="8">
        <f t="shared" ca="1" si="77"/>
        <v>28446712.519866534</v>
      </c>
    </row>
    <row r="430" spans="1:23" x14ac:dyDescent="0.2">
      <c r="A430" s="6">
        <f t="shared" ca="1" si="81"/>
        <v>58654</v>
      </c>
      <c r="B430" s="12">
        <f t="shared" ca="1" si="82"/>
        <v>8</v>
      </c>
      <c r="C430" s="7">
        <f ca="1">(YEAR(A430)-YEAR('ÖNYP kalkulátor'!$C$10))+(MONTH(CF!A430)-MONTH('ÖNYP kalkulátor'!$C$10)-1)/12</f>
        <v>79.166666666666671</v>
      </c>
      <c r="D430" s="4">
        <f ca="1">(1+VLOOKUP(YEAR(A430),'ÖNYP kalkulátor'!$E$15:$F$75,2,FALSE))^(1/12)-1</f>
        <v>2.4662697723036864E-3</v>
      </c>
      <c r="E430" s="4">
        <f t="shared" ca="1" si="85"/>
        <v>2.8744649716366344</v>
      </c>
      <c r="F430" s="8">
        <f t="shared" ca="1" si="86"/>
        <v>81567910.225195274</v>
      </c>
      <c r="G430" s="8">
        <v>10000</v>
      </c>
      <c r="H430" s="8">
        <v>250000</v>
      </c>
      <c r="I430" s="8">
        <v>500000</v>
      </c>
      <c r="J430" s="8">
        <v>750000</v>
      </c>
      <c r="K430" s="8"/>
      <c r="L430" s="4">
        <f ca="1">+IF('ÖNYP kalkulátor'!$C$16="nem",0,
IF(MONTH(A430)=1,VLOOKUP(YEAR(A430),'ÖNYP kalkulátor'!$E$15:$J$75,4),0))</f>
        <v>0</v>
      </c>
      <c r="M430" s="8">
        <f t="shared" ca="1" si="83"/>
        <v>86948.349840080176</v>
      </c>
      <c r="N430" s="8">
        <f t="shared" ca="1" si="84"/>
        <v>28982.783280026735</v>
      </c>
      <c r="O430" s="8">
        <f t="shared" ca="1" si="78"/>
        <v>927449.06496085529</v>
      </c>
      <c r="P430" s="8">
        <f t="shared" ca="1" si="79"/>
        <v>893661.81963605108</v>
      </c>
      <c r="Q430" s="8">
        <f t="shared" ca="1" si="80"/>
        <v>115351.47745450644</v>
      </c>
      <c r="R430" s="13">
        <v>150000</v>
      </c>
      <c r="S430" s="13">
        <f ca="1">MIN(IF(AND(MONTH(A430)=5,'ÖNYP kalkulátor'!$IU$6="igen"),(M430+N430)*12/(1+IF('ÖNYP kalkulátor'!$C$16="nem",0,VLOOKUP(YEAR(A430),'ÖNYP kalkulátor'!$E$15:$J$75,4)))*0.2,0),R430)</f>
        <v>0</v>
      </c>
      <c r="T430" s="4">
        <f ca="1">(1+VLOOKUP(YEAR(A430),'ÖNYP kalkulátor'!$E$15:$F$75,2,FALSE)+VLOOKUP(YEAR(A430),'ÖNYP kalkulátor'!$E$15:$I$75,5,FALSE))^(1/12)-1</f>
        <v>4.0741237836483535E-3</v>
      </c>
      <c r="U430" s="8">
        <f t="shared" ca="1" si="75"/>
        <v>332787.71922873822</v>
      </c>
      <c r="V430" s="14">
        <f t="shared" ca="1" si="76"/>
        <v>82016049.421878532</v>
      </c>
      <c r="W430" s="8">
        <f t="shared" ca="1" si="77"/>
        <v>28532631.37006712</v>
      </c>
    </row>
    <row r="431" spans="1:23" x14ac:dyDescent="0.2">
      <c r="A431" s="6">
        <f t="shared" ca="1" si="81"/>
        <v>58685</v>
      </c>
      <c r="B431" s="12">
        <f t="shared" ca="1" si="82"/>
        <v>9</v>
      </c>
      <c r="C431" s="7">
        <f ca="1">(YEAR(A431)-YEAR('ÖNYP kalkulátor'!$C$10))+(MONTH(CF!A431)-MONTH('ÖNYP kalkulátor'!$C$10)-1)/12</f>
        <v>79.25</v>
      </c>
      <c r="D431" s="4">
        <f ca="1">(1+VLOOKUP(YEAR(A431),'ÖNYP kalkulátor'!$E$15:$F$75,2,FALSE))^(1/12)-1</f>
        <v>2.4662697723036864E-3</v>
      </c>
      <c r="E431" s="4">
        <f t="shared" ca="1" si="85"/>
        <v>2.8815541777077276</v>
      </c>
      <c r="F431" s="8">
        <f t="shared" ca="1" si="86"/>
        <v>82016049.421878532</v>
      </c>
      <c r="G431" s="8">
        <v>10000</v>
      </c>
      <c r="H431" s="8">
        <v>250000</v>
      </c>
      <c r="I431" s="8">
        <v>500000</v>
      </c>
      <c r="J431" s="8">
        <v>750000</v>
      </c>
      <c r="K431" s="8"/>
      <c r="L431" s="4">
        <f ca="1">+IF('ÖNYP kalkulátor'!$C$16="nem",0,
IF(MONTH(A431)=1,VLOOKUP(YEAR(A431),'ÖNYP kalkulátor'!$E$15:$J$75,4),0))</f>
        <v>0</v>
      </c>
      <c r="M431" s="8">
        <f t="shared" ca="1" si="83"/>
        <v>86948.349840080176</v>
      </c>
      <c r="N431" s="8">
        <f t="shared" ca="1" si="84"/>
        <v>28982.783280026735</v>
      </c>
      <c r="O431" s="8">
        <f t="shared" ca="1" si="78"/>
        <v>1043380.1980809622</v>
      </c>
      <c r="P431" s="8">
        <f t="shared" ca="1" si="79"/>
        <v>1009013.2970905574</v>
      </c>
      <c r="Q431" s="8">
        <f t="shared" ca="1" si="80"/>
        <v>115351.47745450633</v>
      </c>
      <c r="R431" s="13">
        <v>150000</v>
      </c>
      <c r="S431" s="13">
        <f ca="1">MIN(IF(AND(MONTH(A431)=5,'ÖNYP kalkulátor'!$IU$6="igen"),(M431+N431)*12/(1+IF('ÖNYP kalkulátor'!$C$16="nem",0,VLOOKUP(YEAR(A431),'ÖNYP kalkulátor'!$E$15:$J$75,4)))*0.2,0),R431)</f>
        <v>0</v>
      </c>
      <c r="T431" s="4">
        <f ca="1">(1+VLOOKUP(YEAR(A431),'ÖNYP kalkulátor'!$E$15:$F$75,2,FALSE)+VLOOKUP(YEAR(A431),'ÖNYP kalkulátor'!$E$15:$I$75,5,FALSE))^(1/12)-1</f>
        <v>4.0741237836483535E-3</v>
      </c>
      <c r="U431" s="8">
        <f t="shared" ca="1" si="75"/>
        <v>334613.49378833052</v>
      </c>
      <c r="V431" s="14">
        <f t="shared" ca="1" si="76"/>
        <v>82466014.393121377</v>
      </c>
      <c r="W431" s="8">
        <f t="shared" ca="1" si="77"/>
        <v>28618588.895914141</v>
      </c>
    </row>
    <row r="432" spans="1:23" x14ac:dyDescent="0.2">
      <c r="A432" s="6">
        <f t="shared" ca="1" si="81"/>
        <v>58715</v>
      </c>
      <c r="B432" s="12">
        <f t="shared" ca="1" si="82"/>
        <v>10</v>
      </c>
      <c r="C432" s="7">
        <f ca="1">(YEAR(A432)-YEAR('ÖNYP kalkulátor'!$C$10))+(MONTH(CF!A432)-MONTH('ÖNYP kalkulátor'!$C$10)-1)/12</f>
        <v>79.333333333333329</v>
      </c>
      <c r="D432" s="4">
        <f ca="1">(1+VLOOKUP(YEAR(A432),'ÖNYP kalkulátor'!$E$15:$F$75,2,FALSE))^(1/12)-1</f>
        <v>2.4662697723036864E-3</v>
      </c>
      <c r="E432" s="4">
        <f t="shared" ca="1" si="85"/>
        <v>2.8886608676734635</v>
      </c>
      <c r="F432" s="8">
        <f t="shared" ca="1" si="86"/>
        <v>82466014.393121377</v>
      </c>
      <c r="G432" s="8">
        <v>10000</v>
      </c>
      <c r="H432" s="8">
        <v>250000</v>
      </c>
      <c r="I432" s="8">
        <v>500000</v>
      </c>
      <c r="J432" s="8">
        <v>750000</v>
      </c>
      <c r="K432" s="8"/>
      <c r="L432" s="4">
        <f ca="1">+IF('ÖNYP kalkulátor'!$C$16="nem",0,
IF(MONTH(A432)=1,VLOOKUP(YEAR(A432),'ÖNYP kalkulátor'!$E$15:$J$75,4),0))</f>
        <v>0</v>
      </c>
      <c r="M432" s="8">
        <f t="shared" ca="1" si="83"/>
        <v>86948.349840080176</v>
      </c>
      <c r="N432" s="8">
        <f t="shared" ca="1" si="84"/>
        <v>28982.783280026735</v>
      </c>
      <c r="O432" s="8">
        <f t="shared" ca="1" si="78"/>
        <v>1159311.3312010691</v>
      </c>
      <c r="P432" s="8">
        <f t="shared" ca="1" si="79"/>
        <v>1124364.7745450637</v>
      </c>
      <c r="Q432" s="8">
        <f t="shared" ca="1" si="80"/>
        <v>115351.47745450633</v>
      </c>
      <c r="R432" s="13">
        <v>150000</v>
      </c>
      <c r="S432" s="13">
        <f ca="1">MIN(IF(AND(MONTH(A432)=5,'ÖNYP kalkulátor'!$IU$6="igen"),(M432+N432)*12/(1+IF('ÖNYP kalkulátor'!$C$16="nem",0,VLOOKUP(YEAR(A432),'ÖNYP kalkulátor'!$E$15:$J$75,4)))*0.2,0),R432)</f>
        <v>0</v>
      </c>
      <c r="T432" s="4">
        <f ca="1">(1+VLOOKUP(YEAR(A432),'ÖNYP kalkulátor'!$E$15:$F$75,2,FALSE)+VLOOKUP(YEAR(A432),'ÖNYP kalkulátor'!$E$15:$I$75,5,FALSE))^(1/12)-1</f>
        <v>4.0741237836483535E-3</v>
      </c>
      <c r="U432" s="8">
        <f t="shared" ca="1" si="75"/>
        <v>336446.70677947963</v>
      </c>
      <c r="V432" s="14">
        <f t="shared" ca="1" si="76"/>
        <v>82917812.57735537</v>
      </c>
      <c r="W432" s="8">
        <f t="shared" ca="1" si="77"/>
        <v>28704585.403317917</v>
      </c>
    </row>
    <row r="433" spans="1:23" x14ac:dyDescent="0.2">
      <c r="A433" s="6">
        <f t="shared" ca="1" si="81"/>
        <v>58746</v>
      </c>
      <c r="B433" s="12">
        <f t="shared" ca="1" si="82"/>
        <v>11</v>
      </c>
      <c r="C433" s="7">
        <f ca="1">(YEAR(A433)-YEAR('ÖNYP kalkulátor'!$C$10))+(MONTH(CF!A433)-MONTH('ÖNYP kalkulátor'!$C$10)-1)/12</f>
        <v>79.416666666666671</v>
      </c>
      <c r="D433" s="4">
        <f ca="1">(1+VLOOKUP(YEAR(A433),'ÖNYP kalkulátor'!$E$15:$F$75,2,FALSE))^(1/12)-1</f>
        <v>2.4662697723036864E-3</v>
      </c>
      <c r="E433" s="4">
        <f t="shared" ca="1" si="85"/>
        <v>2.8957850846538431</v>
      </c>
      <c r="F433" s="8">
        <f t="shared" ca="1" si="86"/>
        <v>82917812.57735537</v>
      </c>
      <c r="G433" s="8">
        <v>10000</v>
      </c>
      <c r="H433" s="8">
        <v>250000</v>
      </c>
      <c r="I433" s="8">
        <v>500000</v>
      </c>
      <c r="J433" s="8">
        <v>750000</v>
      </c>
      <c r="K433" s="8"/>
      <c r="L433" s="4">
        <f ca="1">+IF('ÖNYP kalkulátor'!$C$16="nem",0,
IF(MONTH(A433)=1,VLOOKUP(YEAR(A433),'ÖNYP kalkulátor'!$E$15:$J$75,4),0))</f>
        <v>0</v>
      </c>
      <c r="M433" s="8">
        <f t="shared" ca="1" si="83"/>
        <v>86948.349840080176</v>
      </c>
      <c r="N433" s="8">
        <f t="shared" ca="1" si="84"/>
        <v>28982.783280026735</v>
      </c>
      <c r="O433" s="8">
        <f t="shared" ca="1" si="78"/>
        <v>1275242.4643211758</v>
      </c>
      <c r="P433" s="8">
        <f t="shared" ca="1" si="79"/>
        <v>1239716.2519995701</v>
      </c>
      <c r="Q433" s="8">
        <f t="shared" ca="1" si="80"/>
        <v>115351.47745450633</v>
      </c>
      <c r="R433" s="13">
        <v>150000</v>
      </c>
      <c r="S433" s="13">
        <f ca="1">MIN(IF(AND(MONTH(A433)=5,'ÖNYP kalkulátor'!$IU$6="igen"),(M433+N433)*12/(1+IF('ÖNYP kalkulátor'!$C$16="nem",0,VLOOKUP(YEAR(A433),'ÖNYP kalkulátor'!$E$15:$J$75,4)))*0.2,0),R433)</f>
        <v>0</v>
      </c>
      <c r="T433" s="4">
        <f ca="1">(1+VLOOKUP(YEAR(A433),'ÖNYP kalkulátor'!$E$15:$F$75,2,FALSE)+VLOOKUP(YEAR(A433),'ÖNYP kalkulátor'!$E$15:$I$75,5,FALSE))^(1/12)-1</f>
        <v>4.0741237836483535E-3</v>
      </c>
      <c r="U433" s="8">
        <f t="shared" ca="1" si="75"/>
        <v>338287.38850727648</v>
      </c>
      <c r="V433" s="14">
        <f t="shared" ca="1" si="76"/>
        <v>83371451.44331716</v>
      </c>
      <c r="W433" s="8">
        <f t="shared" ca="1" si="77"/>
        <v>28790621.198079426</v>
      </c>
    </row>
    <row r="434" spans="1:23" x14ac:dyDescent="0.2">
      <c r="A434" s="6">
        <f t="shared" ca="1" si="81"/>
        <v>58776</v>
      </c>
      <c r="B434" s="12">
        <f t="shared" ca="1" si="82"/>
        <v>12</v>
      </c>
      <c r="C434" s="7">
        <f ca="1">(YEAR(A434)-YEAR('ÖNYP kalkulátor'!$C$10))+(MONTH(CF!A434)-MONTH('ÖNYP kalkulátor'!$C$10)-1)/12</f>
        <v>79.5</v>
      </c>
      <c r="D434" s="4">
        <f ca="1">(1+VLOOKUP(YEAR(A434),'ÖNYP kalkulátor'!$E$15:$F$75,2,FALSE))^(1/12)-1</f>
        <v>2.4662697723036864E-3</v>
      </c>
      <c r="E434" s="4">
        <f t="shared" ca="1" si="85"/>
        <v>2.9029268718752128</v>
      </c>
      <c r="F434" s="8">
        <f t="shared" ca="1" si="86"/>
        <v>83371451.44331716</v>
      </c>
      <c r="G434" s="8">
        <v>10000</v>
      </c>
      <c r="H434" s="8">
        <v>250000</v>
      </c>
      <c r="I434" s="8">
        <v>500000</v>
      </c>
      <c r="J434" s="8">
        <v>750000</v>
      </c>
      <c r="K434" s="8"/>
      <c r="L434" s="4">
        <f ca="1">+IF('ÖNYP kalkulátor'!$C$16="nem",0,
IF(MONTH(A434)=1,VLOOKUP(YEAR(A434),'ÖNYP kalkulátor'!$E$15:$J$75,4),0))</f>
        <v>0</v>
      </c>
      <c r="M434" s="8">
        <f t="shared" ca="1" si="83"/>
        <v>86948.349840080176</v>
      </c>
      <c r="N434" s="8">
        <f t="shared" ca="1" si="84"/>
        <v>28982.783280026735</v>
      </c>
      <c r="O434" s="8">
        <f t="shared" ca="1" si="78"/>
        <v>1391173.5974412826</v>
      </c>
      <c r="P434" s="8">
        <f t="shared" ca="1" si="79"/>
        <v>1355067.7294540762</v>
      </c>
      <c r="Q434" s="8">
        <f t="shared" ca="1" si="80"/>
        <v>115351.47745450609</v>
      </c>
      <c r="R434" s="13">
        <v>150000</v>
      </c>
      <c r="S434" s="13">
        <f ca="1">MIN(IF(AND(MONTH(A434)=5,'ÖNYP kalkulátor'!$IU$6="igen"),(M434+N434)*12/(1+IF('ÖNYP kalkulátor'!$C$16="nem",0,VLOOKUP(YEAR(A434),'ÖNYP kalkulátor'!$E$15:$J$75,4)))*0.2,0),R434)</f>
        <v>0</v>
      </c>
      <c r="T434" s="4">
        <f ca="1">(1+VLOOKUP(YEAR(A434),'ÖNYP kalkulátor'!$E$15:$F$75,2,FALSE)+VLOOKUP(YEAR(A434),'ÖNYP kalkulátor'!$E$15:$I$75,5,FALSE))^(1/12)-1</f>
        <v>4.0741237836483535E-3</v>
      </c>
      <c r="U434" s="8">
        <f t="shared" ca="1" si="75"/>
        <v>340135.56940027868</v>
      </c>
      <c r="V434" s="14">
        <f t="shared" ca="1" si="76"/>
        <v>83826938.490171954</v>
      </c>
      <c r="W434" s="8">
        <f t="shared" ca="1" si="77"/>
        <v>28876696.585891604</v>
      </c>
    </row>
    <row r="435" spans="1:23" x14ac:dyDescent="0.2">
      <c r="A435" s="6">
        <f t="shared" ca="1" si="81"/>
        <v>58807</v>
      </c>
      <c r="B435" s="12">
        <f t="shared" ca="1" si="82"/>
        <v>1</v>
      </c>
      <c r="C435" s="7">
        <f ca="1">(YEAR(A435)-YEAR('ÖNYP kalkulátor'!$C$10))+(MONTH(CF!A435)-MONTH('ÖNYP kalkulátor'!$C$10)-1)/12</f>
        <v>79.583333333333329</v>
      </c>
      <c r="D435" s="4">
        <f ca="1">(1+VLOOKUP(YEAR(A435),'ÖNYP kalkulátor'!$E$15:$F$75,2,FALSE))^(1/12)-1</f>
        <v>2.4662697723036864E-3</v>
      </c>
      <c r="E435" s="4">
        <f t="shared" ca="1" si="85"/>
        <v>2.9100862726705268</v>
      </c>
      <c r="F435" s="8">
        <f t="shared" ca="1" si="86"/>
        <v>83826938.490171954</v>
      </c>
      <c r="G435" s="8">
        <v>10000</v>
      </c>
      <c r="H435" s="8">
        <v>250000</v>
      </c>
      <c r="I435" s="8">
        <v>500000</v>
      </c>
      <c r="J435" s="8">
        <v>750000</v>
      </c>
      <c r="K435" s="8"/>
      <c r="L435" s="4">
        <f ca="1">+IF('ÖNYP kalkulátor'!$C$16="nem",0,
IF(MONTH(A435)=1,VLOOKUP(YEAR(A435),'ÖNYP kalkulátor'!$E$15:$J$75,4),0))</f>
        <v>0.03</v>
      </c>
      <c r="M435" s="8">
        <f t="shared" ca="1" si="83"/>
        <v>89556.800335282591</v>
      </c>
      <c r="N435" s="8">
        <f t="shared" ca="1" si="84"/>
        <v>29852.266778427536</v>
      </c>
      <c r="O435" s="8">
        <f t="shared" ca="1" si="78"/>
        <v>119409.06711371013</v>
      </c>
      <c r="P435" s="8">
        <f t="shared" ca="1" si="79"/>
        <v>111844.52308688752</v>
      </c>
      <c r="Q435" s="8">
        <f t="shared" ca="1" si="80"/>
        <v>111844.52308688752</v>
      </c>
      <c r="R435" s="13">
        <v>150000</v>
      </c>
      <c r="S435" s="13">
        <f ca="1">MIN(IF(AND(MONTH(A435)=5,'ÖNYP kalkulátor'!$IU$6="igen"),(M435+N435)*12/(1+IF('ÖNYP kalkulátor'!$C$16="nem",0,VLOOKUP(YEAR(A435),'ÖNYP kalkulátor'!$E$15:$J$75,4)))*0.2,0),R435)</f>
        <v>0</v>
      </c>
      <c r="T435" s="4">
        <f ca="1">(1+VLOOKUP(YEAR(A435),'ÖNYP kalkulátor'!$E$15:$F$75,2,FALSE)+VLOOKUP(YEAR(A435),'ÖNYP kalkulátor'!$E$15:$I$75,5,FALSE))^(1/12)-1</f>
        <v>4.0741237836483535E-3</v>
      </c>
      <c r="U435" s="8">
        <f t="shared" ca="1" si="75"/>
        <v>341976.99224481627</v>
      </c>
      <c r="V435" s="14">
        <f t="shared" ca="1" si="76"/>
        <v>84280760.005503654</v>
      </c>
      <c r="W435" s="8">
        <f t="shared" ca="1" si="77"/>
        <v>28961601.859370623</v>
      </c>
    </row>
    <row r="436" spans="1:23" x14ac:dyDescent="0.2">
      <c r="A436" s="6">
        <f t="shared" ca="1" si="81"/>
        <v>58838</v>
      </c>
      <c r="B436" s="12">
        <f t="shared" ca="1" si="82"/>
        <v>2</v>
      </c>
      <c r="C436" s="7">
        <f ca="1">(YEAR(A436)-YEAR('ÖNYP kalkulátor'!$C$10))+(MONTH(CF!A436)-MONTH('ÖNYP kalkulátor'!$C$10)-1)/12</f>
        <v>79.666666666666671</v>
      </c>
      <c r="D436" s="4">
        <f ca="1">(1+VLOOKUP(YEAR(A436),'ÖNYP kalkulátor'!$E$15:$F$75,2,FALSE))^(1/12)-1</f>
        <v>2.4662697723036864E-3</v>
      </c>
      <c r="E436" s="4">
        <f t="shared" ca="1" si="85"/>
        <v>2.9172633304796101</v>
      </c>
      <c r="F436" s="8">
        <f t="shared" ca="1" si="86"/>
        <v>84280760.005503654</v>
      </c>
      <c r="G436" s="8">
        <v>10000</v>
      </c>
      <c r="H436" s="8">
        <v>250000</v>
      </c>
      <c r="I436" s="8">
        <v>500000</v>
      </c>
      <c r="J436" s="8">
        <v>750000</v>
      </c>
      <c r="K436" s="8"/>
      <c r="L436" s="4">
        <f ca="1">+IF('ÖNYP kalkulátor'!$C$16="nem",0,
IF(MONTH(A436)=1,VLOOKUP(YEAR(A436),'ÖNYP kalkulátor'!$E$15:$J$75,4),0))</f>
        <v>0</v>
      </c>
      <c r="M436" s="8">
        <f t="shared" ca="1" si="83"/>
        <v>89556.800335282591</v>
      </c>
      <c r="N436" s="8">
        <f t="shared" ca="1" si="84"/>
        <v>29852.266778427536</v>
      </c>
      <c r="O436" s="8">
        <f t="shared" ca="1" si="78"/>
        <v>238818.13422742026</v>
      </c>
      <c r="P436" s="8">
        <f t="shared" ca="1" si="79"/>
        <v>224089.04617377504</v>
      </c>
      <c r="Q436" s="8">
        <f t="shared" ca="1" si="80"/>
        <v>112244.52308688752</v>
      </c>
      <c r="R436" s="13">
        <v>150000</v>
      </c>
      <c r="S436" s="13">
        <f ca="1">MIN(IF(AND(MONTH(A436)=5,'ÖNYP kalkulátor'!$IU$6="igen"),(M436+N436)*12/(1+IF('ÖNYP kalkulátor'!$C$16="nem",0,VLOOKUP(YEAR(A436),'ÖNYP kalkulátor'!$E$15:$J$75,4)))*0.2,0),R436)</f>
        <v>0</v>
      </c>
      <c r="T436" s="4">
        <f ca="1">(1+VLOOKUP(YEAR(A436),'ÖNYP kalkulátor'!$E$15:$F$75,2,FALSE)+VLOOKUP(YEAR(A436),'ÖNYP kalkulátor'!$E$15:$I$75,5,FALSE))^(1/12)-1</f>
        <v>4.0741237836483535E-3</v>
      </c>
      <c r="U436" s="8">
        <f t="shared" ca="1" si="75"/>
        <v>343827.54692347394</v>
      </c>
      <c r="V436" s="14">
        <f t="shared" ca="1" si="76"/>
        <v>84736832.075514019</v>
      </c>
      <c r="W436" s="8">
        <f t="shared" ca="1" si="77"/>
        <v>29046686.046536271</v>
      </c>
    </row>
    <row r="437" spans="1:23" x14ac:dyDescent="0.2">
      <c r="A437" s="6">
        <f t="shared" ca="1" si="81"/>
        <v>58866</v>
      </c>
      <c r="B437" s="12">
        <f t="shared" ca="1" si="82"/>
        <v>3</v>
      </c>
      <c r="C437" s="7">
        <f ca="1">(YEAR(A437)-YEAR('ÖNYP kalkulátor'!$C$10))+(MONTH(CF!A437)-MONTH('ÖNYP kalkulátor'!$C$10)-1)/12</f>
        <v>79.75</v>
      </c>
      <c r="D437" s="4">
        <f ca="1">(1+VLOOKUP(YEAR(A437),'ÖNYP kalkulátor'!$E$15:$F$75,2,FALSE))^(1/12)-1</f>
        <v>2.4662697723036864E-3</v>
      </c>
      <c r="E437" s="4">
        <f t="shared" ca="1" si="85"/>
        <v>2.924458088849422</v>
      </c>
      <c r="F437" s="8">
        <f t="shared" ca="1" si="86"/>
        <v>84736832.075514019</v>
      </c>
      <c r="G437" s="8">
        <v>10000</v>
      </c>
      <c r="H437" s="8">
        <v>250000</v>
      </c>
      <c r="I437" s="8">
        <v>500000</v>
      </c>
      <c r="J437" s="8">
        <v>750000</v>
      </c>
      <c r="K437" s="8"/>
      <c r="L437" s="4">
        <f ca="1">+IF('ÖNYP kalkulátor'!$C$16="nem",0,
IF(MONTH(A437)=1,VLOOKUP(YEAR(A437),'ÖNYP kalkulátor'!$E$15:$J$75,4),0))</f>
        <v>0</v>
      </c>
      <c r="M437" s="8">
        <f t="shared" ca="1" si="83"/>
        <v>89556.800335282591</v>
      </c>
      <c r="N437" s="8">
        <f t="shared" ca="1" si="84"/>
        <v>29852.266778427536</v>
      </c>
      <c r="O437" s="8">
        <f t="shared" ca="1" si="78"/>
        <v>358227.20134113036</v>
      </c>
      <c r="P437" s="8">
        <f t="shared" ca="1" si="79"/>
        <v>337415.84127407381</v>
      </c>
      <c r="Q437" s="8">
        <f t="shared" ca="1" si="80"/>
        <v>113326.79510029877</v>
      </c>
      <c r="R437" s="13">
        <v>150000</v>
      </c>
      <c r="S437" s="13">
        <f ca="1">MIN(IF(AND(MONTH(A437)=5,'ÖNYP kalkulátor'!$IU$6="igen"),(M437+N437)*12/(1+IF('ÖNYP kalkulátor'!$C$16="nem",0,VLOOKUP(YEAR(A437),'ÖNYP kalkulátor'!$E$15:$J$75,4)))*0.2,0),R437)</f>
        <v>0</v>
      </c>
      <c r="T437" s="4">
        <f ca="1">(1+VLOOKUP(YEAR(A437),'ÖNYP kalkulátor'!$E$15:$F$75,2,FALSE)+VLOOKUP(YEAR(A437),'ÖNYP kalkulátor'!$E$15:$I$75,5,FALSE))^(1/12)-1</f>
        <v>4.0741237836483535E-3</v>
      </c>
      <c r="U437" s="8">
        <f t="shared" ca="1" si="75"/>
        <v>345690.05030111113</v>
      </c>
      <c r="V437" s="14">
        <f t="shared" ca="1" si="76"/>
        <v>85195848.920915425</v>
      </c>
      <c r="W437" s="8">
        <f t="shared" ca="1" si="77"/>
        <v>29132183.239608087</v>
      </c>
    </row>
    <row r="438" spans="1:23" x14ac:dyDescent="0.2">
      <c r="A438" s="6">
        <f t="shared" ca="1" si="81"/>
        <v>58897</v>
      </c>
      <c r="B438" s="12">
        <f t="shared" ca="1" si="82"/>
        <v>4</v>
      </c>
      <c r="C438" s="7">
        <f ca="1">(YEAR(A438)-YEAR('ÖNYP kalkulátor'!$C$10))+(MONTH(CF!A438)-MONTH('ÖNYP kalkulátor'!$C$10)-1)/12</f>
        <v>79.833333333333329</v>
      </c>
      <c r="D438" s="4">
        <f ca="1">(1+VLOOKUP(YEAR(A438),'ÖNYP kalkulátor'!$E$15:$F$75,2,FALSE))^(1/12)-1</f>
        <v>2.4662697723036864E-3</v>
      </c>
      <c r="E438" s="4">
        <f t="shared" ca="1" si="85"/>
        <v>2.9316705914343202</v>
      </c>
      <c r="F438" s="8">
        <f t="shared" ca="1" si="86"/>
        <v>85195848.920915425</v>
      </c>
      <c r="G438" s="8">
        <v>10000</v>
      </c>
      <c r="H438" s="8">
        <v>250000</v>
      </c>
      <c r="I438" s="8">
        <v>500000</v>
      </c>
      <c r="J438" s="8">
        <v>750000</v>
      </c>
      <c r="K438" s="8"/>
      <c r="L438" s="4">
        <f ca="1">+IF('ÖNYP kalkulátor'!$C$16="nem",0,
IF(MONTH(A438)=1,VLOOKUP(YEAR(A438),'ÖNYP kalkulátor'!$E$15:$J$75,4),0))</f>
        <v>0</v>
      </c>
      <c r="M438" s="8">
        <f t="shared" ca="1" si="83"/>
        <v>89556.800335282591</v>
      </c>
      <c r="N438" s="8">
        <f t="shared" ca="1" si="84"/>
        <v>29852.266778427536</v>
      </c>
      <c r="O438" s="8">
        <f t="shared" ca="1" si="78"/>
        <v>477636.26845484046</v>
      </c>
      <c r="P438" s="8">
        <f t="shared" ca="1" si="79"/>
        <v>450854.45503209846</v>
      </c>
      <c r="Q438" s="8">
        <f t="shared" ca="1" si="80"/>
        <v>113438.61375802464</v>
      </c>
      <c r="R438" s="13">
        <v>150000</v>
      </c>
      <c r="S438" s="13">
        <f ca="1">MIN(IF(AND(MONTH(A438)=5,'ÖNYP kalkulátor'!$IU$6="igen"),(M438+N438)*12/(1+IF('ÖNYP kalkulátor'!$C$16="nem",0,VLOOKUP(YEAR(A438),'ÖNYP kalkulátor'!$E$15:$J$75,4)))*0.2,0),R438)</f>
        <v>0</v>
      </c>
      <c r="T438" s="4">
        <f ca="1">(1+VLOOKUP(YEAR(A438),'ÖNYP kalkulátor'!$E$15:$F$75,2,FALSE)+VLOOKUP(YEAR(A438),'ÖNYP kalkulátor'!$E$15:$I$75,5,FALSE))^(1/12)-1</f>
        <v>4.0741237836483535E-3</v>
      </c>
      <c r="U438" s="8">
        <f t="shared" ca="1" si="75"/>
        <v>347560.59731110913</v>
      </c>
      <c r="V438" s="14">
        <f t="shared" ca="1" si="76"/>
        <v>85656848.131984562</v>
      </c>
      <c r="W438" s="8">
        <f t="shared" ca="1" si="77"/>
        <v>29217760.133848101</v>
      </c>
    </row>
    <row r="439" spans="1:23" x14ac:dyDescent="0.2">
      <c r="A439" s="6">
        <f t="shared" ca="1" si="81"/>
        <v>58927</v>
      </c>
      <c r="B439" s="12">
        <f t="shared" ca="1" si="82"/>
        <v>5</v>
      </c>
      <c r="C439" s="7">
        <f ca="1">(YEAR(A439)-YEAR('ÖNYP kalkulátor'!$C$10))+(MONTH(CF!A439)-MONTH('ÖNYP kalkulátor'!$C$10)-1)/12</f>
        <v>79.916666666666671</v>
      </c>
      <c r="D439" s="4">
        <f ca="1">(1+VLOOKUP(YEAR(A439),'ÖNYP kalkulátor'!$E$15:$F$75,2,FALSE))^(1/12)-1</f>
        <v>2.4662697723036864E-3</v>
      </c>
      <c r="E439" s="4">
        <f t="shared" ca="1" si="85"/>
        <v>2.9389008819963265</v>
      </c>
      <c r="F439" s="8">
        <f t="shared" ca="1" si="86"/>
        <v>85656848.131984562</v>
      </c>
      <c r="G439" s="8">
        <v>10000</v>
      </c>
      <c r="H439" s="8">
        <v>250000</v>
      </c>
      <c r="I439" s="8">
        <v>500000</v>
      </c>
      <c r="J439" s="8">
        <v>750000</v>
      </c>
      <c r="K439" s="8"/>
      <c r="L439" s="4">
        <f ca="1">+IF('ÖNYP kalkulátor'!$C$16="nem",0,
IF(MONTH(A439)=1,VLOOKUP(YEAR(A439),'ÖNYP kalkulátor'!$E$15:$J$75,4),0))</f>
        <v>0</v>
      </c>
      <c r="M439" s="8">
        <f t="shared" ca="1" si="83"/>
        <v>89556.800335282591</v>
      </c>
      <c r="N439" s="8">
        <f t="shared" ca="1" si="84"/>
        <v>29852.266778427536</v>
      </c>
      <c r="O439" s="8">
        <f t="shared" ca="1" si="78"/>
        <v>597045.33556855062</v>
      </c>
      <c r="P439" s="8">
        <f t="shared" ca="1" si="79"/>
        <v>567204.42885717959</v>
      </c>
      <c r="Q439" s="8">
        <f t="shared" ca="1" si="80"/>
        <v>116349.97382508114</v>
      </c>
      <c r="R439" s="13">
        <v>150000</v>
      </c>
      <c r="S439" s="13">
        <f ca="1">MIN(IF(AND(MONTH(A439)=5,'ÖNYP kalkulátor'!$IU$6="igen"),(M439+N439)*12/(1+IF('ÖNYP kalkulátor'!$C$16="nem",0,VLOOKUP(YEAR(A439),'ÖNYP kalkulátor'!$E$15:$J$75,4)))*0.2,0),R439)</f>
        <v>150000</v>
      </c>
      <c r="T439" s="4">
        <f ca="1">(1+VLOOKUP(YEAR(A439),'ÖNYP kalkulátor'!$E$15:$F$75,2,FALSE)+VLOOKUP(YEAR(A439),'ÖNYP kalkulátor'!$E$15:$I$75,5,FALSE))^(1/12)-1</f>
        <v>4.0741237836483535E-3</v>
      </c>
      <c r="U439" s="8">
        <f t="shared" ca="1" si="75"/>
        <v>350061.74497000821</v>
      </c>
      <c r="V439" s="14">
        <f t="shared" ca="1" si="76"/>
        <v>86273259.850779653</v>
      </c>
      <c r="W439" s="8">
        <f t="shared" ca="1" si="77"/>
        <v>29355620.796634778</v>
      </c>
    </row>
    <row r="440" spans="1:23" x14ac:dyDescent="0.2">
      <c r="A440" s="6">
        <f t="shared" ca="1" si="81"/>
        <v>58958</v>
      </c>
      <c r="B440" s="12">
        <f t="shared" ca="1" si="82"/>
        <v>6</v>
      </c>
      <c r="C440" s="7">
        <f ca="1">(YEAR(A440)-YEAR('ÖNYP kalkulátor'!$C$10))+(MONTH(CF!A440)-MONTH('ÖNYP kalkulátor'!$C$10)-1)/12</f>
        <v>80</v>
      </c>
      <c r="D440" s="4">
        <f ca="1">(1+VLOOKUP(YEAR(A440),'ÖNYP kalkulátor'!$E$15:$F$75,2,FALSE))^(1/12)-1</f>
        <v>2.4662697723036864E-3</v>
      </c>
      <c r="E440" s="4">
        <f t="shared" ca="1" si="85"/>
        <v>2.9461490044053908</v>
      </c>
      <c r="F440" s="8">
        <f t="shared" ca="1" si="86"/>
        <v>86273259.850779653</v>
      </c>
      <c r="G440" s="8">
        <v>10000</v>
      </c>
      <c r="H440" s="8">
        <v>250000</v>
      </c>
      <c r="I440" s="8">
        <v>500000</v>
      </c>
      <c r="J440" s="8">
        <v>750000</v>
      </c>
      <c r="K440" s="8"/>
      <c r="L440" s="4">
        <f ca="1">+IF('ÖNYP kalkulátor'!$C$16="nem",0,
IF(MONTH(A440)=1,VLOOKUP(YEAR(A440),'ÖNYP kalkulátor'!$E$15:$J$75,4),0))</f>
        <v>0</v>
      </c>
      <c r="M440" s="8">
        <f t="shared" ca="1" si="83"/>
        <v>89556.800335282591</v>
      </c>
      <c r="N440" s="8">
        <f t="shared" ca="1" si="84"/>
        <v>29852.266778427536</v>
      </c>
      <c r="O440" s="8">
        <f t="shared" ca="1" si="78"/>
        <v>716454.40268226073</v>
      </c>
      <c r="P440" s="8">
        <f t="shared" ca="1" si="79"/>
        <v>684225.31462861551</v>
      </c>
      <c r="Q440" s="8">
        <f t="shared" ca="1" si="80"/>
        <v>117020.88577143592</v>
      </c>
      <c r="R440" s="13">
        <v>150000</v>
      </c>
      <c r="S440" s="13">
        <f ca="1">MIN(IF(AND(MONTH(A440)=5,'ÖNYP kalkulátor'!$IU$6="igen"),(M440+N440)*12/(1+IF('ÖNYP kalkulátor'!$C$16="nem",0,VLOOKUP(YEAR(A440),'ÖNYP kalkulátor'!$E$15:$J$75,4)))*0.2,0),R440)</f>
        <v>0</v>
      </c>
      <c r="T440" s="4">
        <f ca="1">(1+VLOOKUP(YEAR(A440),'ÖNYP kalkulátor'!$E$15:$F$75,2,FALSE)+VLOOKUP(YEAR(A440),'ÖNYP kalkulátor'!$E$15:$I$75,5,FALSE))^(1/12)-1</f>
        <v>4.0741237836483535E-3</v>
      </c>
      <c r="U440" s="8">
        <f t="shared" ca="1" si="75"/>
        <v>351964.697424841</v>
      </c>
      <c r="V440" s="14">
        <f t="shared" ca="1" si="76"/>
        <v>86742245.433975935</v>
      </c>
      <c r="W440" s="8">
        <f t="shared" ca="1" si="77"/>
        <v>29442586.001003288</v>
      </c>
    </row>
    <row r="441" spans="1:23" x14ac:dyDescent="0.2">
      <c r="A441" s="6">
        <f t="shared" ca="1" si="81"/>
        <v>58988</v>
      </c>
      <c r="B441" s="12">
        <f t="shared" ca="1" si="82"/>
        <v>7</v>
      </c>
      <c r="C441" s="7">
        <f ca="1">(YEAR(A441)-YEAR('ÖNYP kalkulátor'!$C$10))+(MONTH(CF!A441)-MONTH('ÖNYP kalkulátor'!$C$10)-1)/12</f>
        <v>80.083333333333329</v>
      </c>
      <c r="D441" s="4">
        <f ca="1">(1+VLOOKUP(YEAR(A441),'ÖNYP kalkulátor'!$E$15:$F$75,2,FALSE))^(1/12)-1</f>
        <v>2.4662697723036864E-3</v>
      </c>
      <c r="E441" s="4">
        <f t="shared" ca="1" si="85"/>
        <v>2.9534150026396584</v>
      </c>
      <c r="F441" s="8">
        <f t="shared" ca="1" si="86"/>
        <v>86742245.433975935</v>
      </c>
      <c r="G441" s="8">
        <v>10000</v>
      </c>
      <c r="H441" s="8">
        <v>250000</v>
      </c>
      <c r="I441" s="8">
        <v>500000</v>
      </c>
      <c r="J441" s="8">
        <v>750000</v>
      </c>
      <c r="K441" s="8"/>
      <c r="L441" s="4">
        <f ca="1">+IF('ÖNYP kalkulátor'!$C$16="nem",0,
IF(MONTH(A441)=1,VLOOKUP(YEAR(A441),'ÖNYP kalkulátor'!$E$15:$J$75,4),0))</f>
        <v>0</v>
      </c>
      <c r="M441" s="8">
        <f t="shared" ca="1" si="83"/>
        <v>89556.800335282591</v>
      </c>
      <c r="N441" s="8">
        <f t="shared" ca="1" si="84"/>
        <v>29852.266778427536</v>
      </c>
      <c r="O441" s="8">
        <f t="shared" ca="1" si="78"/>
        <v>835863.46979597083</v>
      </c>
      <c r="P441" s="8">
        <f t="shared" ca="1" si="79"/>
        <v>802534.15244699095</v>
      </c>
      <c r="Q441" s="8">
        <f t="shared" ca="1" si="80"/>
        <v>118308.83781837544</v>
      </c>
      <c r="R441" s="13">
        <v>150000</v>
      </c>
      <c r="S441" s="13">
        <f ca="1">MIN(IF(AND(MONTH(A441)=5,'ÖNYP kalkulátor'!$IU$6="igen"),(M441+N441)*12/(1+IF('ÖNYP kalkulátor'!$C$16="nem",0,VLOOKUP(YEAR(A441),'ÖNYP kalkulátor'!$E$15:$J$75,4)))*0.2,0),R441)</f>
        <v>0</v>
      </c>
      <c r="T441" s="4">
        <f ca="1">(1+VLOOKUP(YEAR(A441),'ÖNYP kalkulátor'!$E$15:$F$75,2,FALSE)+VLOOKUP(YEAR(A441),'ÖNYP kalkulátor'!$E$15:$I$75,5,FALSE))^(1/12)-1</f>
        <v>4.0741237836483535E-3</v>
      </c>
      <c r="U441" s="8">
        <f t="shared" ca="1" si="75"/>
        <v>353880.65001959575</v>
      </c>
      <c r="V441" s="14">
        <f t="shared" ca="1" si="76"/>
        <v>87214434.921813905</v>
      </c>
      <c r="W441" s="8">
        <f t="shared" ca="1" si="77"/>
        <v>29530030.437261514</v>
      </c>
    </row>
    <row r="442" spans="1:23" x14ac:dyDescent="0.2">
      <c r="A442" s="6">
        <f t="shared" ca="1" si="81"/>
        <v>59019</v>
      </c>
      <c r="B442" s="12">
        <f t="shared" ca="1" si="82"/>
        <v>8</v>
      </c>
      <c r="C442" s="7">
        <f ca="1">(YEAR(A442)-YEAR('ÖNYP kalkulátor'!$C$10))+(MONTH(CF!A442)-MONTH('ÖNYP kalkulátor'!$C$10)-1)/12</f>
        <v>80.166666666666671</v>
      </c>
      <c r="D442" s="4">
        <f ca="1">(1+VLOOKUP(YEAR(A442),'ÖNYP kalkulátor'!$E$15:$F$75,2,FALSE))^(1/12)-1</f>
        <v>2.4662697723036864E-3</v>
      </c>
      <c r="E442" s="4">
        <f t="shared" ca="1" si="85"/>
        <v>2.9606989207857368</v>
      </c>
      <c r="F442" s="8">
        <f t="shared" ca="1" si="86"/>
        <v>87214434.921813905</v>
      </c>
      <c r="G442" s="8">
        <v>10000</v>
      </c>
      <c r="H442" s="8">
        <v>250000</v>
      </c>
      <c r="I442" s="8">
        <v>500000</v>
      </c>
      <c r="J442" s="8">
        <v>750000</v>
      </c>
      <c r="K442" s="8"/>
      <c r="L442" s="4">
        <f ca="1">+IF('ÖNYP kalkulátor'!$C$16="nem",0,
IF(MONTH(A442)=1,VLOOKUP(YEAR(A442),'ÖNYP kalkulátor'!$E$15:$J$75,4),0))</f>
        <v>0</v>
      </c>
      <c r="M442" s="8">
        <f t="shared" ca="1" si="83"/>
        <v>89556.800335282591</v>
      </c>
      <c r="N442" s="8">
        <f t="shared" ca="1" si="84"/>
        <v>29852.266778427536</v>
      </c>
      <c r="O442" s="8">
        <f t="shared" ca="1" si="78"/>
        <v>955272.53690968093</v>
      </c>
      <c r="P442" s="8">
        <f t="shared" ca="1" si="79"/>
        <v>921346.17422513256</v>
      </c>
      <c r="Q442" s="8">
        <f t="shared" ca="1" si="80"/>
        <v>118812.02177814161</v>
      </c>
      <c r="R442" s="13">
        <v>150000</v>
      </c>
      <c r="S442" s="13">
        <f ca="1">MIN(IF(AND(MONTH(A442)=5,'ÖNYP kalkulátor'!$IU$6="igen"),(M442+N442)*12/(1+IF('ÖNYP kalkulátor'!$C$16="nem",0,VLOOKUP(YEAR(A442),'ÖNYP kalkulátor'!$E$15:$J$75,4)))*0.2,0),R442)</f>
        <v>0</v>
      </c>
      <c r="T442" s="4">
        <f ca="1">(1+VLOOKUP(YEAR(A442),'ÖNYP kalkulátor'!$E$15:$F$75,2,FALSE)+VLOOKUP(YEAR(A442),'ÖNYP kalkulátor'!$E$15:$I$75,5,FALSE))^(1/12)-1</f>
        <v>4.0741237836483535E-3</v>
      </c>
      <c r="U442" s="8">
        <f t="shared" ca="1" si="75"/>
        <v>355806.45847612323</v>
      </c>
      <c r="V442" s="14">
        <f t="shared" ca="1" si="76"/>
        <v>87689053.402068168</v>
      </c>
      <c r="W442" s="8">
        <f t="shared" ca="1" si="77"/>
        <v>29617686.819298889</v>
      </c>
    </row>
    <row r="443" spans="1:23" x14ac:dyDescent="0.2">
      <c r="A443" s="6">
        <f t="shared" ca="1" si="81"/>
        <v>59050</v>
      </c>
      <c r="B443" s="12">
        <f t="shared" ca="1" si="82"/>
        <v>9</v>
      </c>
      <c r="C443" s="7">
        <f ca="1">(YEAR(A443)-YEAR('ÖNYP kalkulátor'!$C$10))+(MONTH(CF!A443)-MONTH('ÖNYP kalkulátor'!$C$10)-1)/12</f>
        <v>80.25</v>
      </c>
      <c r="D443" s="4">
        <f ca="1">(1+VLOOKUP(YEAR(A443),'ÖNYP kalkulátor'!$E$15:$F$75,2,FALSE))^(1/12)-1</f>
        <v>2.4662697723036864E-3</v>
      </c>
      <c r="E443" s="4">
        <f t="shared" ca="1" si="85"/>
        <v>2.9680008030389629</v>
      </c>
      <c r="F443" s="8">
        <f t="shared" ca="1" si="86"/>
        <v>87689053.402068168</v>
      </c>
      <c r="G443" s="8">
        <v>10000</v>
      </c>
      <c r="H443" s="8">
        <v>250000</v>
      </c>
      <c r="I443" s="8">
        <v>500000</v>
      </c>
      <c r="J443" s="8">
        <v>750000</v>
      </c>
      <c r="K443" s="8"/>
      <c r="L443" s="4">
        <f ca="1">+IF('ÖNYP kalkulátor'!$C$16="nem",0,
IF(MONTH(A443)=1,VLOOKUP(YEAR(A443),'ÖNYP kalkulátor'!$E$15:$J$75,4),0))</f>
        <v>0</v>
      </c>
      <c r="M443" s="8">
        <f t="shared" ca="1" si="83"/>
        <v>89556.800335282591</v>
      </c>
      <c r="N443" s="8">
        <f t="shared" ca="1" si="84"/>
        <v>29852.266778427536</v>
      </c>
      <c r="O443" s="8">
        <f t="shared" ca="1" si="78"/>
        <v>1074681.6040233911</v>
      </c>
      <c r="P443" s="8">
        <f t="shared" ca="1" si="79"/>
        <v>1040158.1960032742</v>
      </c>
      <c r="Q443" s="8">
        <f t="shared" ca="1" si="80"/>
        <v>118812.02177814161</v>
      </c>
      <c r="R443" s="13">
        <v>150000</v>
      </c>
      <c r="S443" s="13">
        <f ca="1">MIN(IF(AND(MONTH(A443)=5,'ÖNYP kalkulátor'!$IU$6="igen"),(M443+N443)*12/(1+IF('ÖNYP kalkulátor'!$C$16="nem",0,VLOOKUP(YEAR(A443),'ÖNYP kalkulátor'!$E$15:$J$75,4)))*0.2,0),R443)</f>
        <v>0</v>
      </c>
      <c r="T443" s="4">
        <f ca="1">(1+VLOOKUP(YEAR(A443),'ÖNYP kalkulátor'!$E$15:$F$75,2,FALSE)+VLOOKUP(YEAR(A443),'ÖNYP kalkulátor'!$E$15:$I$75,5,FALSE))^(1/12)-1</f>
        <v>4.0741237836483535E-3</v>
      </c>
      <c r="U443" s="8">
        <f t="shared" ca="1" si="75"/>
        <v>357740.11291468615</v>
      </c>
      <c r="V443" s="14">
        <f t="shared" ca="1" si="76"/>
        <v>88165605.536760986</v>
      </c>
      <c r="W443" s="8">
        <f t="shared" ca="1" si="77"/>
        <v>29705384.663807176</v>
      </c>
    </row>
    <row r="444" spans="1:23" x14ac:dyDescent="0.2">
      <c r="A444" s="6">
        <f t="shared" ca="1" si="81"/>
        <v>59080</v>
      </c>
      <c r="B444" s="12">
        <f t="shared" ca="1" si="82"/>
        <v>10</v>
      </c>
      <c r="C444" s="7">
        <f ca="1">(YEAR(A444)-YEAR('ÖNYP kalkulátor'!$C$10))+(MONTH(CF!A444)-MONTH('ÖNYP kalkulátor'!$C$10)-1)/12</f>
        <v>80.333333333333329</v>
      </c>
      <c r="D444" s="4">
        <f ca="1">(1+VLOOKUP(YEAR(A444),'ÖNYP kalkulátor'!$E$15:$F$75,2,FALSE))^(1/12)-1</f>
        <v>2.4662697723036864E-3</v>
      </c>
      <c r="E444" s="4">
        <f t="shared" ca="1" si="85"/>
        <v>2.9753206937036709</v>
      </c>
      <c r="F444" s="8">
        <f t="shared" ca="1" si="86"/>
        <v>88165605.536760986</v>
      </c>
      <c r="G444" s="8">
        <v>10000</v>
      </c>
      <c r="H444" s="8">
        <v>250000</v>
      </c>
      <c r="I444" s="8">
        <v>500000</v>
      </c>
      <c r="J444" s="8">
        <v>750000</v>
      </c>
      <c r="K444" s="8"/>
      <c r="L444" s="4">
        <f ca="1">+IF('ÖNYP kalkulátor'!$C$16="nem",0,
IF(MONTH(A444)=1,VLOOKUP(YEAR(A444),'ÖNYP kalkulátor'!$E$15:$J$75,4),0))</f>
        <v>0</v>
      </c>
      <c r="M444" s="8">
        <f t="shared" ca="1" si="83"/>
        <v>89556.800335282591</v>
      </c>
      <c r="N444" s="8">
        <f t="shared" ca="1" si="84"/>
        <v>29852.266778427536</v>
      </c>
      <c r="O444" s="8">
        <f t="shared" ca="1" si="78"/>
        <v>1194090.6711371015</v>
      </c>
      <c r="P444" s="8">
        <f t="shared" ca="1" si="79"/>
        <v>1158970.2177814159</v>
      </c>
      <c r="Q444" s="8">
        <f t="shared" ca="1" si="80"/>
        <v>118812.02177814173</v>
      </c>
      <c r="R444" s="13">
        <v>150000</v>
      </c>
      <c r="S444" s="13">
        <f ca="1">MIN(IF(AND(MONTH(A444)=5,'ÖNYP kalkulátor'!$IU$6="igen"),(M444+N444)*12/(1+IF('ÖNYP kalkulátor'!$C$16="nem",0,VLOOKUP(YEAR(A444),'ÖNYP kalkulátor'!$E$15:$J$75,4)))*0.2,0),R444)</f>
        <v>0</v>
      </c>
      <c r="T444" s="4">
        <f ca="1">(1+VLOOKUP(YEAR(A444),'ÖNYP kalkulátor'!$E$15:$F$75,2,FALSE)+VLOOKUP(YEAR(A444),'ÖNYP kalkulátor'!$E$15:$I$75,5,FALSE))^(1/12)-1</f>
        <v>4.0741237836483535E-3</v>
      </c>
      <c r="U444" s="8">
        <f t="shared" ca="1" si="75"/>
        <v>359681.64530078653</v>
      </c>
      <c r="V444" s="14">
        <f t="shared" ca="1" si="76"/>
        <v>88644099.203839913</v>
      </c>
      <c r="W444" s="8">
        <f t="shared" ca="1" si="77"/>
        <v>29793124.281166472</v>
      </c>
    </row>
    <row r="445" spans="1:23" x14ac:dyDescent="0.2">
      <c r="A445" s="6">
        <f t="shared" ca="1" si="81"/>
        <v>59111</v>
      </c>
      <c r="B445" s="12">
        <f t="shared" ca="1" si="82"/>
        <v>11</v>
      </c>
      <c r="C445" s="7">
        <f ca="1">(YEAR(A445)-YEAR('ÖNYP kalkulátor'!$C$10))+(MONTH(CF!A445)-MONTH('ÖNYP kalkulátor'!$C$10)-1)/12</f>
        <v>80.416666666666671</v>
      </c>
      <c r="D445" s="4">
        <f ca="1">(1+VLOOKUP(YEAR(A445),'ÖNYP kalkulátor'!$E$15:$F$75,2,FALSE))^(1/12)-1</f>
        <v>2.4662697723036864E-3</v>
      </c>
      <c r="E445" s="4">
        <f t="shared" ca="1" si="85"/>
        <v>2.9826586371934618</v>
      </c>
      <c r="F445" s="8">
        <f t="shared" ca="1" si="86"/>
        <v>88644099.203839913</v>
      </c>
      <c r="G445" s="8">
        <v>10000</v>
      </c>
      <c r="H445" s="8">
        <v>250000</v>
      </c>
      <c r="I445" s="8">
        <v>500000</v>
      </c>
      <c r="J445" s="8">
        <v>750000</v>
      </c>
      <c r="K445" s="8"/>
      <c r="L445" s="4">
        <f ca="1">+IF('ÖNYP kalkulátor'!$C$16="nem",0,
IF(MONTH(A445)=1,VLOOKUP(YEAR(A445),'ÖNYP kalkulátor'!$E$15:$J$75,4),0))</f>
        <v>0</v>
      </c>
      <c r="M445" s="8">
        <f t="shared" ca="1" si="83"/>
        <v>89556.800335282591</v>
      </c>
      <c r="N445" s="8">
        <f t="shared" ca="1" si="84"/>
        <v>29852.266778427536</v>
      </c>
      <c r="O445" s="8">
        <f t="shared" ca="1" si="78"/>
        <v>1313499.7382508118</v>
      </c>
      <c r="P445" s="8">
        <f t="shared" ca="1" si="79"/>
        <v>1277782.2395595578</v>
      </c>
      <c r="Q445" s="8">
        <f t="shared" ca="1" si="80"/>
        <v>118812.02177814185</v>
      </c>
      <c r="R445" s="13">
        <v>150000</v>
      </c>
      <c r="S445" s="13">
        <f ca="1">MIN(IF(AND(MONTH(A445)=5,'ÖNYP kalkulátor'!$IU$6="igen"),(M445+N445)*12/(1+IF('ÖNYP kalkulátor'!$C$16="nem",0,VLOOKUP(YEAR(A445),'ÖNYP kalkulátor'!$E$15:$J$75,4)))*0.2,0),R445)</f>
        <v>0</v>
      </c>
      <c r="T445" s="4">
        <f ca="1">(1+VLOOKUP(YEAR(A445),'ÖNYP kalkulátor'!$E$15:$F$75,2,FALSE)+VLOOKUP(YEAR(A445),'ÖNYP kalkulátor'!$E$15:$I$75,5,FALSE))^(1/12)-1</f>
        <v>4.0741237836483535E-3</v>
      </c>
      <c r="U445" s="8">
        <f t="shared" ca="1" si="75"/>
        <v>361631.08773015795</v>
      </c>
      <c r="V445" s="14">
        <f t="shared" ca="1" si="76"/>
        <v>89124542.313348204</v>
      </c>
      <c r="W445" s="8">
        <f t="shared" ca="1" si="77"/>
        <v>29880905.981654711</v>
      </c>
    </row>
    <row r="446" spans="1:23" x14ac:dyDescent="0.2">
      <c r="A446" s="6">
        <f t="shared" ca="1" si="81"/>
        <v>59141</v>
      </c>
      <c r="B446" s="12">
        <f t="shared" ca="1" si="82"/>
        <v>12</v>
      </c>
      <c r="C446" s="7">
        <f ca="1">(YEAR(A446)-YEAR('ÖNYP kalkulátor'!$C$10))+(MONTH(CF!A446)-MONTH('ÖNYP kalkulátor'!$C$10)-1)/12</f>
        <v>80.5</v>
      </c>
      <c r="D446" s="4">
        <f ca="1">(1+VLOOKUP(YEAR(A446),'ÖNYP kalkulátor'!$E$15:$F$75,2,FALSE))^(1/12)-1</f>
        <v>2.4662697723036864E-3</v>
      </c>
      <c r="E446" s="4">
        <f t="shared" ca="1" si="85"/>
        <v>2.9900146780314727</v>
      </c>
      <c r="F446" s="8">
        <f t="shared" ca="1" si="86"/>
        <v>89124542.313348204</v>
      </c>
      <c r="G446" s="8">
        <v>10000</v>
      </c>
      <c r="H446" s="8">
        <v>250000</v>
      </c>
      <c r="I446" s="8">
        <v>500000</v>
      </c>
      <c r="J446" s="8">
        <v>750000</v>
      </c>
      <c r="K446" s="8"/>
      <c r="L446" s="4">
        <f ca="1">+IF('ÖNYP kalkulátor'!$C$16="nem",0,
IF(MONTH(A446)=1,VLOOKUP(YEAR(A446),'ÖNYP kalkulátor'!$E$15:$J$75,4),0))</f>
        <v>0</v>
      </c>
      <c r="M446" s="8">
        <f t="shared" ca="1" si="83"/>
        <v>89556.800335282591</v>
      </c>
      <c r="N446" s="8">
        <f t="shared" ca="1" si="84"/>
        <v>29852.266778427536</v>
      </c>
      <c r="O446" s="8">
        <f t="shared" ca="1" si="78"/>
        <v>1432908.8053645222</v>
      </c>
      <c r="P446" s="8">
        <f t="shared" ca="1" si="79"/>
        <v>1396594.2613376994</v>
      </c>
      <c r="Q446" s="8">
        <f t="shared" ca="1" si="80"/>
        <v>118812.02177814161</v>
      </c>
      <c r="R446" s="13">
        <v>150000</v>
      </c>
      <c r="S446" s="13">
        <f ca="1">MIN(IF(AND(MONTH(A446)=5,'ÖNYP kalkulátor'!$IU$6="igen"),(M446+N446)*12/(1+IF('ÖNYP kalkulátor'!$C$16="nem",0,VLOOKUP(YEAR(A446),'ÖNYP kalkulátor'!$E$15:$J$75,4)))*0.2,0),R446)</f>
        <v>0</v>
      </c>
      <c r="T446" s="4">
        <f ca="1">(1+VLOOKUP(YEAR(A446),'ÖNYP kalkulátor'!$E$15:$F$75,2,FALSE)+VLOOKUP(YEAR(A446),'ÖNYP kalkulátor'!$E$15:$I$75,5,FALSE))^(1/12)-1</f>
        <v>4.0741237836483535E-3</v>
      </c>
      <c r="U446" s="8">
        <f t="shared" ca="1" si="75"/>
        <v>363588.47242929559</v>
      </c>
      <c r="V446" s="14">
        <f t="shared" ca="1" si="76"/>
        <v>89606942.807555631</v>
      </c>
      <c r="W446" s="8">
        <f t="shared" ca="1" si="77"/>
        <v>29968730.07544896</v>
      </c>
    </row>
    <row r="447" spans="1:23" x14ac:dyDescent="0.2">
      <c r="A447" s="6">
        <f t="shared" ca="1" si="81"/>
        <v>59172</v>
      </c>
      <c r="B447" s="12">
        <f t="shared" ca="1" si="82"/>
        <v>1</v>
      </c>
      <c r="C447" s="7">
        <f ca="1">(YEAR(A447)-YEAR('ÖNYP kalkulátor'!$C$10))+(MONTH(CF!A447)-MONTH('ÖNYP kalkulátor'!$C$10)-1)/12</f>
        <v>80.583333333333329</v>
      </c>
      <c r="D447" s="4">
        <f ca="1">(1+VLOOKUP(YEAR(A447),'ÖNYP kalkulátor'!$E$15:$F$75,2,FALSE))^(1/12)-1</f>
        <v>2.4662697723036864E-3</v>
      </c>
      <c r="E447" s="4">
        <f t="shared" ca="1" si="85"/>
        <v>2.9973888608506463</v>
      </c>
      <c r="F447" s="8">
        <f t="shared" ca="1" si="86"/>
        <v>89606942.807555631</v>
      </c>
      <c r="G447" s="8">
        <v>10000</v>
      </c>
      <c r="H447" s="8">
        <v>250000</v>
      </c>
      <c r="I447" s="8">
        <v>500000</v>
      </c>
      <c r="J447" s="8">
        <v>750000</v>
      </c>
      <c r="K447" s="8"/>
      <c r="L447" s="4">
        <f ca="1">+IF('ÖNYP kalkulátor'!$C$16="nem",0,
IF(MONTH(A447)=1,VLOOKUP(YEAR(A447),'ÖNYP kalkulátor'!$E$15:$J$75,4),0))</f>
        <v>0.03</v>
      </c>
      <c r="M447" s="8">
        <f t="shared" ca="1" si="83"/>
        <v>92243.504345341076</v>
      </c>
      <c r="N447" s="8">
        <f t="shared" ca="1" si="84"/>
        <v>30747.834781780362</v>
      </c>
      <c r="O447" s="8">
        <f t="shared" ca="1" si="78"/>
        <v>122991.33912712144</v>
      </c>
      <c r="P447" s="8">
        <f t="shared" ca="1" si="79"/>
        <v>115211.85877949414</v>
      </c>
      <c r="Q447" s="8">
        <f t="shared" ca="1" si="80"/>
        <v>115211.85877949414</v>
      </c>
      <c r="R447" s="13">
        <v>150000</v>
      </c>
      <c r="S447" s="13">
        <f ca="1">MIN(IF(AND(MONTH(A447)=5,'ÖNYP kalkulátor'!$IU$6="igen"),(M447+N447)*12/(1+IF('ÖNYP kalkulátor'!$C$16="nem",0,VLOOKUP(YEAR(A447),'ÖNYP kalkulátor'!$E$15:$J$75,4)))*0.2,0),R447)</f>
        <v>0</v>
      </c>
      <c r="T447" s="4">
        <f ca="1">(1+VLOOKUP(YEAR(A447),'ÖNYP kalkulátor'!$E$15:$F$75,2,FALSE)+VLOOKUP(YEAR(A447),'ÖNYP kalkulátor'!$E$15:$I$75,5,FALSE))^(1/12)-1</f>
        <v>4.0741237836483535E-3</v>
      </c>
      <c r="U447" s="8">
        <f t="shared" ca="1" si="75"/>
        <v>365539.16424629203</v>
      </c>
      <c r="V447" s="14">
        <f t="shared" ca="1" si="76"/>
        <v>90087693.830581412</v>
      </c>
      <c r="W447" s="8">
        <f t="shared" ca="1" si="77"/>
        <v>30055390.87945196</v>
      </c>
    </row>
    <row r="448" spans="1:23" x14ac:dyDescent="0.2">
      <c r="A448" s="6">
        <f t="shared" ca="1" si="81"/>
        <v>59203</v>
      </c>
      <c r="B448" s="12">
        <f t="shared" ca="1" si="82"/>
        <v>2</v>
      </c>
      <c r="C448" s="7">
        <f ca="1">(YEAR(A448)-YEAR('ÖNYP kalkulátor'!$C$10))+(MONTH(CF!A448)-MONTH('ÖNYP kalkulátor'!$C$10)-1)/12</f>
        <v>80.666666666666671</v>
      </c>
      <c r="D448" s="4">
        <f ca="1">(1+VLOOKUP(YEAR(A448),'ÖNYP kalkulátor'!$E$15:$F$75,2,FALSE))^(1/12)-1</f>
        <v>2.4662697723036864E-3</v>
      </c>
      <c r="E448" s="4">
        <f t="shared" ca="1" si="85"/>
        <v>3.004781230394002</v>
      </c>
      <c r="F448" s="8">
        <f t="shared" ca="1" si="86"/>
        <v>90087693.830581412</v>
      </c>
      <c r="G448" s="8">
        <v>10000</v>
      </c>
      <c r="H448" s="8">
        <v>250000</v>
      </c>
      <c r="I448" s="8">
        <v>500000</v>
      </c>
      <c r="J448" s="8">
        <v>750000</v>
      </c>
      <c r="K448" s="8"/>
      <c r="L448" s="4">
        <f ca="1">+IF('ÖNYP kalkulátor'!$C$16="nem",0,
IF(MONTH(A448)=1,VLOOKUP(YEAR(A448),'ÖNYP kalkulátor'!$E$15:$J$75,4),0))</f>
        <v>0</v>
      </c>
      <c r="M448" s="8">
        <f t="shared" ca="1" si="83"/>
        <v>92243.504345341076</v>
      </c>
      <c r="N448" s="8">
        <f t="shared" ca="1" si="84"/>
        <v>30747.834781780362</v>
      </c>
      <c r="O448" s="8">
        <f t="shared" ca="1" si="78"/>
        <v>245982.67825424287</v>
      </c>
      <c r="P448" s="8">
        <f t="shared" ca="1" si="79"/>
        <v>230823.71755898828</v>
      </c>
      <c r="Q448" s="8">
        <f t="shared" ca="1" si="80"/>
        <v>115611.85877949414</v>
      </c>
      <c r="R448" s="13">
        <v>150000</v>
      </c>
      <c r="S448" s="13">
        <f ca="1">MIN(IF(AND(MONTH(A448)=5,'ÖNYP kalkulátor'!$IU$6="igen"),(M448+N448)*12/(1+IF('ÖNYP kalkulátor'!$C$16="nem",0,VLOOKUP(YEAR(A448),'ÖNYP kalkulátor'!$E$15:$J$75,4)))*0.2,0),R448)</f>
        <v>0</v>
      </c>
      <c r="T448" s="4">
        <f ca="1">(1+VLOOKUP(YEAR(A448),'ÖNYP kalkulátor'!$E$15:$F$75,2,FALSE)+VLOOKUP(YEAR(A448),'ÖNYP kalkulátor'!$E$15:$I$75,5,FALSE))^(1/12)-1</f>
        <v>4.0741237836483535E-3</v>
      </c>
      <c r="U448" s="8">
        <f t="shared" ca="1" si="75"/>
        <v>367499.4330727281</v>
      </c>
      <c r="V448" s="14">
        <f t="shared" ca="1" si="76"/>
        <v>90570805.122433633</v>
      </c>
      <c r="W448" s="8">
        <f t="shared" ca="1" si="77"/>
        <v>30142229.393038884</v>
      </c>
    </row>
    <row r="449" spans="1:23" x14ac:dyDescent="0.2">
      <c r="A449" s="6">
        <f t="shared" ca="1" si="81"/>
        <v>59231</v>
      </c>
      <c r="B449" s="12">
        <f t="shared" ca="1" si="82"/>
        <v>3</v>
      </c>
      <c r="C449" s="7">
        <f ca="1">(YEAR(A449)-YEAR('ÖNYP kalkulátor'!$C$10))+(MONTH(CF!A449)-MONTH('ÖNYP kalkulátor'!$C$10)-1)/12</f>
        <v>80.75</v>
      </c>
      <c r="D449" s="4">
        <f ca="1">(1+VLOOKUP(YEAR(A449),'ÖNYP kalkulátor'!$E$15:$F$75,2,FALSE))^(1/12)-1</f>
        <v>2.4662697723036864E-3</v>
      </c>
      <c r="E449" s="4">
        <f t="shared" ca="1" si="85"/>
        <v>3.0121918315149081</v>
      </c>
      <c r="F449" s="8">
        <f t="shared" ca="1" si="86"/>
        <v>90570805.122433633</v>
      </c>
      <c r="G449" s="8">
        <v>10000</v>
      </c>
      <c r="H449" s="8">
        <v>250000</v>
      </c>
      <c r="I449" s="8">
        <v>500000</v>
      </c>
      <c r="J449" s="8">
        <v>750000</v>
      </c>
      <c r="K449" s="8"/>
      <c r="L449" s="4">
        <f ca="1">+IF('ÖNYP kalkulátor'!$C$16="nem",0,
IF(MONTH(A449)=1,VLOOKUP(YEAR(A449),'ÖNYP kalkulátor'!$E$15:$J$75,4),0))</f>
        <v>0</v>
      </c>
      <c r="M449" s="8">
        <f t="shared" ca="1" si="83"/>
        <v>92243.504345341076</v>
      </c>
      <c r="N449" s="8">
        <f t="shared" ca="1" si="84"/>
        <v>30747.834781780362</v>
      </c>
      <c r="O449" s="8">
        <f t="shared" ca="1" si="78"/>
        <v>368974.01738136431</v>
      </c>
      <c r="P449" s="8">
        <f t="shared" ca="1" si="79"/>
        <v>347625.31651229609</v>
      </c>
      <c r="Q449" s="8">
        <f t="shared" ca="1" si="80"/>
        <v>116801.59895330781</v>
      </c>
      <c r="R449" s="13">
        <v>150000</v>
      </c>
      <c r="S449" s="13">
        <f ca="1">MIN(IF(AND(MONTH(A449)=5,'ÖNYP kalkulátor'!$IU$6="igen"),(M449+N449)*12/(1+IF('ÖNYP kalkulátor'!$C$16="nem",0,VLOOKUP(YEAR(A449),'ÖNYP kalkulátor'!$E$15:$J$75,4)))*0.2,0),R449)</f>
        <v>0</v>
      </c>
      <c r="T449" s="4">
        <f ca="1">(1+VLOOKUP(YEAR(A449),'ÖNYP kalkulátor'!$E$15:$F$75,2,FALSE)+VLOOKUP(YEAR(A449),'ÖNYP kalkulátor'!$E$15:$I$75,5,FALSE))^(1/12)-1</f>
        <v>4.0741237836483535E-3</v>
      </c>
      <c r="U449" s="8">
        <f t="shared" ca="1" si="75"/>
        <v>369472.53542575083</v>
      </c>
      <c r="V449" s="14">
        <f t="shared" ca="1" si="76"/>
        <v>91057079.256812692</v>
      </c>
      <c r="W449" s="8">
        <f t="shared" ca="1" si="77"/>
        <v>30229508.726546731</v>
      </c>
    </row>
    <row r="450" spans="1:23" x14ac:dyDescent="0.2">
      <c r="A450" s="6">
        <f t="shared" ca="1" si="81"/>
        <v>59262</v>
      </c>
      <c r="B450" s="12">
        <f t="shared" ca="1" si="82"/>
        <v>4</v>
      </c>
      <c r="C450" s="7">
        <f ca="1">(YEAR(A450)-YEAR('ÖNYP kalkulátor'!$C$10))+(MONTH(CF!A450)-MONTH('ÖNYP kalkulátor'!$C$10)-1)/12</f>
        <v>80.833333333333329</v>
      </c>
      <c r="D450" s="4">
        <f ca="1">(1+VLOOKUP(YEAR(A450),'ÖNYP kalkulátor'!$E$15:$F$75,2,FALSE))^(1/12)-1</f>
        <v>2.4662697723036864E-3</v>
      </c>
      <c r="E450" s="4">
        <f t="shared" ca="1" si="85"/>
        <v>3.0196207091773535</v>
      </c>
      <c r="F450" s="8">
        <f t="shared" ca="1" si="86"/>
        <v>91057079.256812692</v>
      </c>
      <c r="G450" s="8">
        <v>10000</v>
      </c>
      <c r="H450" s="8">
        <v>250000</v>
      </c>
      <c r="I450" s="8">
        <v>500000</v>
      </c>
      <c r="J450" s="8">
        <v>750000</v>
      </c>
      <c r="K450" s="8"/>
      <c r="L450" s="4">
        <f ca="1">+IF('ÖNYP kalkulátor'!$C$16="nem",0,
IF(MONTH(A450)=1,VLOOKUP(YEAR(A450),'ÖNYP kalkulátor'!$E$15:$J$75,4),0))</f>
        <v>0</v>
      </c>
      <c r="M450" s="8">
        <f t="shared" ca="1" si="83"/>
        <v>92243.504345341076</v>
      </c>
      <c r="N450" s="8">
        <f t="shared" ca="1" si="84"/>
        <v>30747.834781780362</v>
      </c>
      <c r="O450" s="8">
        <f t="shared" ca="1" si="78"/>
        <v>491965.35650848574</v>
      </c>
      <c r="P450" s="8">
        <f t="shared" ca="1" si="79"/>
        <v>464467.08868306142</v>
      </c>
      <c r="Q450" s="8">
        <f t="shared" ca="1" si="80"/>
        <v>116841.77217076533</v>
      </c>
      <c r="R450" s="13">
        <v>150000</v>
      </c>
      <c r="S450" s="13">
        <f ca="1">MIN(IF(AND(MONTH(A450)=5,'ÖNYP kalkulátor'!$IU$6="igen"),(M450+N450)*12/(1+IF('ÖNYP kalkulátor'!$C$16="nem",0,VLOOKUP(YEAR(A450),'ÖNYP kalkulátor'!$E$15:$J$75,4)))*0.2,0),R450)</f>
        <v>0</v>
      </c>
      <c r="T450" s="4">
        <f ca="1">(1+VLOOKUP(YEAR(A450),'ÖNYP kalkulátor'!$E$15:$F$75,2,FALSE)+VLOOKUP(YEAR(A450),'ÖNYP kalkulátor'!$E$15:$I$75,5,FALSE))^(1/12)-1</f>
        <v>4.0741237836483535E-3</v>
      </c>
      <c r="U450" s="8">
        <f t="shared" ref="U450:U513" ca="1" si="87">+(F450+Q450+S450)*T450</f>
        <v>371453.84011265828</v>
      </c>
      <c r="V450" s="14">
        <f t="shared" ref="V450:V513" ca="1" si="88">+F450+Q450+S450+U450</f>
        <v>91545374.869096115</v>
      </c>
      <c r="W450" s="8">
        <f t="shared" ref="W450:W513" ca="1" si="89">+V450/E450</f>
        <v>30316845.619341433</v>
      </c>
    </row>
    <row r="451" spans="1:23" x14ac:dyDescent="0.2">
      <c r="A451" s="6">
        <f t="shared" ca="1" si="81"/>
        <v>59292</v>
      </c>
      <c r="B451" s="12">
        <f t="shared" ca="1" si="82"/>
        <v>5</v>
      </c>
      <c r="C451" s="7">
        <f ca="1">(YEAR(A451)-YEAR('ÖNYP kalkulátor'!$C$10))+(MONTH(CF!A451)-MONTH('ÖNYP kalkulátor'!$C$10)-1)/12</f>
        <v>80.916666666666671</v>
      </c>
      <c r="D451" s="4">
        <f ca="1">(1+VLOOKUP(YEAR(A451),'ÖNYP kalkulátor'!$E$15:$F$75,2,FALSE))^(1/12)-1</f>
        <v>2.4662697723036864E-3</v>
      </c>
      <c r="E451" s="4">
        <f t="shared" ca="1" si="85"/>
        <v>3.0270679084562198</v>
      </c>
      <c r="F451" s="8">
        <f t="shared" ca="1" si="86"/>
        <v>91545374.869096115</v>
      </c>
      <c r="G451" s="8">
        <v>10000</v>
      </c>
      <c r="H451" s="8">
        <v>250000</v>
      </c>
      <c r="I451" s="8">
        <v>500000</v>
      </c>
      <c r="J451" s="8">
        <v>750000</v>
      </c>
      <c r="K451" s="8"/>
      <c r="L451" s="4">
        <f ca="1">+IF('ÖNYP kalkulátor'!$C$16="nem",0,
IF(MONTH(A451)=1,VLOOKUP(YEAR(A451),'ÖNYP kalkulátor'!$E$15:$J$75,4),0))</f>
        <v>0</v>
      </c>
      <c r="M451" s="8">
        <f t="shared" ca="1" si="83"/>
        <v>92243.504345341076</v>
      </c>
      <c r="N451" s="8">
        <f t="shared" ca="1" si="84"/>
        <v>30747.834781780362</v>
      </c>
      <c r="O451" s="8">
        <f t="shared" ref="O451:O514" ca="1" si="90">IF(YEAR(A451)=YEAR(A450),O450+M451+N451,M451+N451)</f>
        <v>614956.69563560723</v>
      </c>
      <c r="P451" s="8">
        <f t="shared" ref="P451:P514" ca="1" si="91">IF(O451&lt;G451,O451*$G$1,0)
+IF(AND(O451&lt;H451,O451&gt;=G451),G451*$G$1+(O451-G451)*$H$1,0)
+IF(AND(O451&lt;I451,O451&gt;=H451),G451*$G$1+(H451-G451)*$H$1+(O451-H451)*$I$1,0)
+IF(AND(O451&lt;J451,O451&gt;=I451),G451*$G$1+(H451-G451)*$H$1+(I451-H451)*$I$1+(O451-I451)*$J$1,0)
+IF(AND(O451&gt;=J451),G451*$G$1+(H451-G451)*$H$1+(I451-H451)*$I$1+(J451-I451)*$J$1+(O451-J451)*$K$1,0)</f>
        <v>584757.56172289513</v>
      </c>
      <c r="Q451" s="8">
        <f t="shared" ref="Q451:Q514" ca="1" si="92">IF(YEAR(A451)=YEAR(A450),P451-P450,P451)</f>
        <v>120290.47303983371</v>
      </c>
      <c r="R451" s="13">
        <v>150000</v>
      </c>
      <c r="S451" s="13">
        <f ca="1">MIN(IF(AND(MONTH(A451)=5,'ÖNYP kalkulátor'!$IU$6="igen"),(M451+N451)*12/(1+IF('ÖNYP kalkulátor'!$C$16="nem",0,VLOOKUP(YEAR(A451),'ÖNYP kalkulátor'!$E$15:$J$75,4)))*0.2,0),R451)</f>
        <v>150000</v>
      </c>
      <c r="T451" s="4">
        <f ca="1">(1+VLOOKUP(YEAR(A451),'ÖNYP kalkulátor'!$E$15:$F$75,2,FALSE)+VLOOKUP(YEAR(A451),'ÖNYP kalkulátor'!$E$15:$I$75,5,FALSE))^(1/12)-1</f>
        <v>4.0741237836483535E-3</v>
      </c>
      <c r="U451" s="8">
        <f t="shared" ca="1" si="87"/>
        <v>374068.38588189392</v>
      </c>
      <c r="V451" s="14">
        <f t="shared" ca="1" si="88"/>
        <v>92189733.728017852</v>
      </c>
      <c r="W451" s="8">
        <f t="shared" ca="1" si="89"/>
        <v>30455125.724296641</v>
      </c>
    </row>
    <row r="452" spans="1:23" x14ac:dyDescent="0.2">
      <c r="A452" s="6">
        <f t="shared" ref="A452:A479" ca="1" si="93">+DATE(YEAR(A451),MONTH(A451)+1,1)</f>
        <v>59323</v>
      </c>
      <c r="B452" s="12">
        <f t="shared" ref="B452:B479" ca="1" si="94">+IF(YEAR(A452)=YEAR(A451),B451+1,1)</f>
        <v>6</v>
      </c>
      <c r="C452" s="7">
        <f ca="1">(YEAR(A452)-YEAR('ÖNYP kalkulátor'!$C$10))+(MONTH(CF!A452)-MONTH('ÖNYP kalkulátor'!$C$10)-1)/12</f>
        <v>81</v>
      </c>
      <c r="D452" s="4">
        <f ca="1">(1+VLOOKUP(YEAR(A452),'ÖNYP kalkulátor'!$E$15:$F$75,2,FALSE))^(1/12)-1</f>
        <v>2.4662697723036864E-3</v>
      </c>
      <c r="E452" s="4">
        <f t="shared" ca="1" si="85"/>
        <v>3.0345334745375561</v>
      </c>
      <c r="F452" s="8">
        <f t="shared" ca="1" si="86"/>
        <v>92189733.728017852</v>
      </c>
      <c r="G452" s="8">
        <v>10000</v>
      </c>
      <c r="H452" s="8">
        <v>250000</v>
      </c>
      <c r="I452" s="8">
        <v>500000</v>
      </c>
      <c r="J452" s="8">
        <v>750000</v>
      </c>
      <c r="K452" s="8"/>
      <c r="L452" s="4">
        <f ca="1">+IF('ÖNYP kalkulátor'!$C$16="nem",0,
IF(MONTH(A452)=1,VLOOKUP(YEAR(A452),'ÖNYP kalkulátor'!$E$15:$J$75,4),0))</f>
        <v>0</v>
      </c>
      <c r="M452" s="8">
        <f t="shared" ref="M452:M515" ca="1" si="95">M451*(1+L452)</f>
        <v>92243.504345341076</v>
      </c>
      <c r="N452" s="8">
        <f t="shared" ref="N452:N515" ca="1" si="96">N451*(1+L452)</f>
        <v>30747.834781780362</v>
      </c>
      <c r="O452" s="8">
        <f t="shared" ca="1" si="90"/>
        <v>737948.03476272873</v>
      </c>
      <c r="P452" s="8">
        <f t="shared" ca="1" si="91"/>
        <v>705289.07406747411</v>
      </c>
      <c r="Q452" s="8">
        <f t="shared" ca="1" si="92"/>
        <v>120531.51234457898</v>
      </c>
      <c r="R452" s="13">
        <v>150000</v>
      </c>
      <c r="S452" s="13">
        <f ca="1">MIN(IF(AND(MONTH(A452)=5,'ÖNYP kalkulátor'!$IU$6="igen"),(M452+N452)*12/(1+IF('ÖNYP kalkulátor'!$C$16="nem",0,VLOOKUP(YEAR(A452),'ÖNYP kalkulátor'!$E$15:$J$75,4)))*0.2,0),R452)</f>
        <v>0</v>
      </c>
      <c r="T452" s="4">
        <f ca="1">(1+VLOOKUP(YEAR(A452),'ÖNYP kalkulátor'!$E$15:$F$75,2,FALSE)+VLOOKUP(YEAR(A452),'ÖNYP kalkulátor'!$E$15:$I$75,5,FALSE))^(1/12)-1</f>
        <v>4.0741237836483535E-3</v>
      </c>
      <c r="U452" s="8">
        <f t="shared" ca="1" si="87"/>
        <v>376083.44709064846</v>
      </c>
      <c r="V452" s="14">
        <f t="shared" ca="1" si="88"/>
        <v>92686348.687453091</v>
      </c>
      <c r="W452" s="8">
        <f t="shared" ca="1" si="89"/>
        <v>30543854.422821257</v>
      </c>
    </row>
    <row r="453" spans="1:23" x14ac:dyDescent="0.2">
      <c r="A453" s="6">
        <f t="shared" ca="1" si="93"/>
        <v>59353</v>
      </c>
      <c r="B453" s="12">
        <f t="shared" ca="1" si="94"/>
        <v>7</v>
      </c>
      <c r="C453" s="7">
        <f ca="1">(YEAR(A453)-YEAR('ÖNYP kalkulátor'!$C$10))+(MONTH(CF!A453)-MONTH('ÖNYP kalkulátor'!$C$10)-1)/12</f>
        <v>81.083333333333329</v>
      </c>
      <c r="D453" s="4">
        <f ca="1">(1+VLOOKUP(YEAR(A453),'ÖNYP kalkulátor'!$E$15:$F$75,2,FALSE))^(1/12)-1</f>
        <v>2.4662697723036864E-3</v>
      </c>
      <c r="E453" s="4">
        <f t="shared" ca="1" si="85"/>
        <v>3.0420174527188517</v>
      </c>
      <c r="F453" s="8">
        <f t="shared" ca="1" si="86"/>
        <v>92686348.687453091</v>
      </c>
      <c r="G453" s="8">
        <v>10000</v>
      </c>
      <c r="H453" s="8">
        <v>250000</v>
      </c>
      <c r="I453" s="8">
        <v>500000</v>
      </c>
      <c r="J453" s="8">
        <v>750000</v>
      </c>
      <c r="K453" s="8"/>
      <c r="L453" s="4">
        <f ca="1">+IF('ÖNYP kalkulátor'!$C$16="nem",0,
IF(MONTH(A453)=1,VLOOKUP(YEAR(A453),'ÖNYP kalkulátor'!$E$15:$J$75,4),0))</f>
        <v>0</v>
      </c>
      <c r="M453" s="8">
        <f t="shared" ca="1" si="95"/>
        <v>92243.504345341076</v>
      </c>
      <c r="N453" s="8">
        <f t="shared" ca="1" si="96"/>
        <v>30747.834781780362</v>
      </c>
      <c r="O453" s="8">
        <f t="shared" ca="1" si="90"/>
        <v>860939.37388985022</v>
      </c>
      <c r="P453" s="8">
        <f t="shared" ca="1" si="91"/>
        <v>827484.677020401</v>
      </c>
      <c r="Q453" s="8">
        <f t="shared" ca="1" si="92"/>
        <v>122195.60295292689</v>
      </c>
      <c r="R453" s="13">
        <v>150000</v>
      </c>
      <c r="S453" s="13">
        <f ca="1">MIN(IF(AND(MONTH(A453)=5,'ÖNYP kalkulátor'!$IU$6="igen"),(M453+N453)*12/(1+IF('ÖNYP kalkulátor'!$C$16="nem",0,VLOOKUP(YEAR(A453),'ÖNYP kalkulátor'!$E$15:$J$75,4)))*0.2,0),R453)</f>
        <v>0</v>
      </c>
      <c r="T453" s="4">
        <f ca="1">(1+VLOOKUP(YEAR(A453),'ÖNYP kalkulátor'!$E$15:$F$75,2,FALSE)+VLOOKUP(YEAR(A453),'ÖNYP kalkulátor'!$E$15:$I$75,5,FALSE))^(1/12)-1</f>
        <v>4.0741237836483535E-3</v>
      </c>
      <c r="U453" s="8">
        <f t="shared" ca="1" si="87"/>
        <v>378113.49761932477</v>
      </c>
      <c r="V453" s="14">
        <f t="shared" ca="1" si="88"/>
        <v>93186657.788025349</v>
      </c>
      <c r="W453" s="8">
        <f t="shared" ca="1" si="89"/>
        <v>30633176.5798182</v>
      </c>
    </row>
    <row r="454" spans="1:23" x14ac:dyDescent="0.2">
      <c r="A454" s="6">
        <f t="shared" ca="1" si="93"/>
        <v>59384</v>
      </c>
      <c r="B454" s="12">
        <f t="shared" ca="1" si="94"/>
        <v>8</v>
      </c>
      <c r="C454" s="7">
        <f ca="1">(YEAR(A454)-YEAR('ÖNYP kalkulátor'!$C$10))+(MONTH(CF!A454)-MONTH('ÖNYP kalkulátor'!$C$10)-1)/12</f>
        <v>81.166666666666671</v>
      </c>
      <c r="D454" s="4">
        <f ca="1">(1+VLOOKUP(YEAR(A454),'ÖNYP kalkulátor'!$E$15:$F$75,2,FALSE))^(1/12)-1</f>
        <v>2.4662697723036864E-3</v>
      </c>
      <c r="E454" s="4">
        <f t="shared" ca="1" si="85"/>
        <v>3.0495198884093124</v>
      </c>
      <c r="F454" s="8">
        <f t="shared" ca="1" si="86"/>
        <v>93186657.788025349</v>
      </c>
      <c r="G454" s="8">
        <v>10000</v>
      </c>
      <c r="H454" s="8">
        <v>250000</v>
      </c>
      <c r="I454" s="8">
        <v>500000</v>
      </c>
      <c r="J454" s="8">
        <v>750000</v>
      </c>
      <c r="K454" s="8"/>
      <c r="L454" s="4">
        <f ca="1">+IF('ÖNYP kalkulátor'!$C$16="nem",0,
IF(MONTH(A454)=1,VLOOKUP(YEAR(A454),'ÖNYP kalkulátor'!$E$15:$J$75,4),0))</f>
        <v>0</v>
      </c>
      <c r="M454" s="8">
        <f t="shared" ca="1" si="95"/>
        <v>92243.504345341076</v>
      </c>
      <c r="N454" s="8">
        <f t="shared" ca="1" si="96"/>
        <v>30747.834781780362</v>
      </c>
      <c r="O454" s="8">
        <f t="shared" ca="1" si="90"/>
        <v>983930.71301697171</v>
      </c>
      <c r="P454" s="8">
        <f t="shared" ca="1" si="91"/>
        <v>949861.05945188692</v>
      </c>
      <c r="Q454" s="8">
        <f t="shared" ca="1" si="92"/>
        <v>122376.38243148592</v>
      </c>
      <c r="R454" s="13">
        <v>150000</v>
      </c>
      <c r="S454" s="13">
        <f ca="1">MIN(IF(AND(MONTH(A454)=5,'ÖNYP kalkulátor'!$IU$6="igen"),(M454+N454)*12/(1+IF('ÖNYP kalkulátor'!$C$16="nem",0,VLOOKUP(YEAR(A454),'ÖNYP kalkulátor'!$E$15:$J$75,4)))*0.2,0),R454)</f>
        <v>0</v>
      </c>
      <c r="T454" s="4">
        <f ca="1">(1+VLOOKUP(YEAR(A454),'ÖNYP kalkulátor'!$E$15:$F$75,2,FALSE)+VLOOKUP(YEAR(A454),'ÖNYP kalkulátor'!$E$15:$I$75,5,FALSE))^(1/12)-1</f>
        <v>4.0741237836483535E-3</v>
      </c>
      <c r="U454" s="8">
        <f t="shared" ca="1" si="87"/>
        <v>380152.55534311512</v>
      </c>
      <c r="V454" s="14">
        <f t="shared" ca="1" si="88"/>
        <v>93689186.725799963</v>
      </c>
      <c r="W454" s="8">
        <f t="shared" ca="1" si="89"/>
        <v>30722602.296150304</v>
      </c>
    </row>
    <row r="455" spans="1:23" x14ac:dyDescent="0.2">
      <c r="A455" s="6">
        <f t="shared" ca="1" si="93"/>
        <v>59415</v>
      </c>
      <c r="B455" s="12">
        <f t="shared" ca="1" si="94"/>
        <v>9</v>
      </c>
      <c r="C455" s="7">
        <f ca="1">(YEAR(A455)-YEAR('ÖNYP kalkulátor'!$C$10))+(MONTH(CF!A455)-MONTH('ÖNYP kalkulátor'!$C$10)-1)/12</f>
        <v>81.25</v>
      </c>
      <c r="D455" s="4">
        <f ca="1">(1+VLOOKUP(YEAR(A455),'ÖNYP kalkulátor'!$E$15:$F$75,2,FALSE))^(1/12)-1</f>
        <v>2.4662697723036864E-3</v>
      </c>
      <c r="E455" s="4">
        <f t="shared" ca="1" si="85"/>
        <v>3.0570408271301353</v>
      </c>
      <c r="F455" s="8">
        <f t="shared" ca="1" si="86"/>
        <v>93689186.725799963</v>
      </c>
      <c r="G455" s="8">
        <v>10000</v>
      </c>
      <c r="H455" s="8">
        <v>250000</v>
      </c>
      <c r="I455" s="8">
        <v>500000</v>
      </c>
      <c r="J455" s="8">
        <v>750000</v>
      </c>
      <c r="K455" s="8"/>
      <c r="L455" s="4">
        <f ca="1">+IF('ÖNYP kalkulátor'!$C$16="nem",0,
IF(MONTH(A455)=1,VLOOKUP(YEAR(A455),'ÖNYP kalkulátor'!$E$15:$J$75,4),0))</f>
        <v>0</v>
      </c>
      <c r="M455" s="8">
        <f t="shared" ca="1" si="95"/>
        <v>92243.504345341076</v>
      </c>
      <c r="N455" s="8">
        <f t="shared" ca="1" si="96"/>
        <v>30747.834781780362</v>
      </c>
      <c r="O455" s="8">
        <f t="shared" ca="1" si="90"/>
        <v>1106922.0521440932</v>
      </c>
      <c r="P455" s="8">
        <f t="shared" ca="1" si="91"/>
        <v>1072237.4418833726</v>
      </c>
      <c r="Q455" s="8">
        <f t="shared" ca="1" si="92"/>
        <v>122376.38243148569</v>
      </c>
      <c r="R455" s="13">
        <v>150000</v>
      </c>
      <c r="S455" s="13">
        <f ca="1">MIN(IF(AND(MONTH(A455)=5,'ÖNYP kalkulátor'!$IU$6="igen"),(M455+N455)*12/(1+IF('ÖNYP kalkulátor'!$C$16="nem",0,VLOOKUP(YEAR(A455),'ÖNYP kalkulátor'!$E$15:$J$75,4)))*0.2,0),R455)</f>
        <v>0</v>
      </c>
      <c r="T455" s="4">
        <f ca="1">(1+VLOOKUP(YEAR(A455),'ÖNYP kalkulátor'!$E$15:$F$75,2,FALSE)+VLOOKUP(YEAR(A455),'ÖNYP kalkulátor'!$E$15:$I$75,5,FALSE))^(1/12)-1</f>
        <v>4.0741237836483535E-3</v>
      </c>
      <c r="U455" s="8">
        <f t="shared" ca="1" si="87"/>
        <v>382199.92044047423</v>
      </c>
      <c r="V455" s="14">
        <f t="shared" ca="1" si="88"/>
        <v>94193763.028671935</v>
      </c>
      <c r="W455" s="8">
        <f t="shared" ca="1" si="89"/>
        <v>30812072.3127857</v>
      </c>
    </row>
    <row r="456" spans="1:23" x14ac:dyDescent="0.2">
      <c r="A456" s="6">
        <f t="shared" ca="1" si="93"/>
        <v>59445</v>
      </c>
      <c r="B456" s="12">
        <f t="shared" ca="1" si="94"/>
        <v>10</v>
      </c>
      <c r="C456" s="7">
        <f ca="1">(YEAR(A456)-YEAR('ÖNYP kalkulátor'!$C$10))+(MONTH(CF!A456)-MONTH('ÖNYP kalkulátor'!$C$10)-1)/12</f>
        <v>81.333333333333329</v>
      </c>
      <c r="D456" s="4">
        <f ca="1">(1+VLOOKUP(YEAR(A456),'ÖNYP kalkulátor'!$E$15:$F$75,2,FALSE))^(1/12)-1</f>
        <v>2.4662697723036864E-3</v>
      </c>
      <c r="E456" s="4">
        <f t="shared" ca="1" si="85"/>
        <v>3.0645803145147847</v>
      </c>
      <c r="F456" s="8">
        <f t="shared" ca="1" si="86"/>
        <v>94193763.028671935</v>
      </c>
      <c r="G456" s="8">
        <v>10000</v>
      </c>
      <c r="H456" s="8">
        <v>250000</v>
      </c>
      <c r="I456" s="8">
        <v>500000</v>
      </c>
      <c r="J456" s="8">
        <v>750000</v>
      </c>
      <c r="K456" s="8"/>
      <c r="L456" s="4">
        <f ca="1">+IF('ÖNYP kalkulátor'!$C$16="nem",0,
IF(MONTH(A456)=1,VLOOKUP(YEAR(A456),'ÖNYP kalkulátor'!$E$15:$J$75,4),0))</f>
        <v>0</v>
      </c>
      <c r="M456" s="8">
        <f t="shared" ca="1" si="95"/>
        <v>92243.504345341076</v>
      </c>
      <c r="N456" s="8">
        <f t="shared" ca="1" si="96"/>
        <v>30747.834781780362</v>
      </c>
      <c r="O456" s="8">
        <f t="shared" ca="1" si="90"/>
        <v>1229913.3912712147</v>
      </c>
      <c r="P456" s="8">
        <f t="shared" ca="1" si="91"/>
        <v>1194613.8243148588</v>
      </c>
      <c r="Q456" s="8">
        <f t="shared" ca="1" si="92"/>
        <v>122376.38243148616</v>
      </c>
      <c r="R456" s="13">
        <v>150000</v>
      </c>
      <c r="S456" s="13">
        <f ca="1">MIN(IF(AND(MONTH(A456)=5,'ÖNYP kalkulátor'!$IU$6="igen"),(M456+N456)*12/(1+IF('ÖNYP kalkulátor'!$C$16="nem",0,VLOOKUP(YEAR(A456),'ÖNYP kalkulátor'!$E$15:$J$75,4)))*0.2,0),R456)</f>
        <v>0</v>
      </c>
      <c r="T456" s="4">
        <f ca="1">(1+VLOOKUP(YEAR(A456),'ÖNYP kalkulátor'!$E$15:$F$75,2,FALSE)+VLOOKUP(YEAR(A456),'ÖNYP kalkulátor'!$E$15:$I$75,5,FALSE))^(1/12)-1</f>
        <v>4.0741237836483535E-3</v>
      </c>
      <c r="U456" s="8">
        <f t="shared" ca="1" si="87"/>
        <v>384255.6267566703</v>
      </c>
      <c r="V456" s="14">
        <f t="shared" ca="1" si="88"/>
        <v>94700395.037860096</v>
      </c>
      <c r="W456" s="8">
        <f t="shared" ca="1" si="89"/>
        <v>30901586.944656081</v>
      </c>
    </row>
    <row r="457" spans="1:23" x14ac:dyDescent="0.2">
      <c r="A457" s="6">
        <f t="shared" ca="1" si="93"/>
        <v>59476</v>
      </c>
      <c r="B457" s="12">
        <f t="shared" ca="1" si="94"/>
        <v>11</v>
      </c>
      <c r="C457" s="7">
        <f ca="1">(YEAR(A457)-YEAR('ÖNYP kalkulátor'!$C$10))+(MONTH(CF!A457)-MONTH('ÖNYP kalkulátor'!$C$10)-1)/12</f>
        <v>81.416666666666671</v>
      </c>
      <c r="D457" s="4">
        <f ca="1">(1+VLOOKUP(YEAR(A457),'ÖNYP kalkulátor'!$E$15:$F$75,2,FALSE))^(1/12)-1</f>
        <v>2.4662697723036864E-3</v>
      </c>
      <c r="E457" s="4">
        <f t="shared" ca="1" si="85"/>
        <v>3.0721383963092697</v>
      </c>
      <c r="F457" s="8">
        <f t="shared" ca="1" si="86"/>
        <v>94700395.037860096</v>
      </c>
      <c r="G457" s="8">
        <v>10000</v>
      </c>
      <c r="H457" s="8">
        <v>250000</v>
      </c>
      <c r="I457" s="8">
        <v>500000</v>
      </c>
      <c r="J457" s="8">
        <v>750000</v>
      </c>
      <c r="K457" s="8"/>
      <c r="L457" s="4">
        <f ca="1">+IF('ÖNYP kalkulátor'!$C$16="nem",0,
IF(MONTH(A457)=1,VLOOKUP(YEAR(A457),'ÖNYP kalkulátor'!$E$15:$J$75,4),0))</f>
        <v>0</v>
      </c>
      <c r="M457" s="8">
        <f t="shared" ca="1" si="95"/>
        <v>92243.504345341076</v>
      </c>
      <c r="N457" s="8">
        <f t="shared" ca="1" si="96"/>
        <v>30747.834781780362</v>
      </c>
      <c r="O457" s="8">
        <f t="shared" ca="1" si="90"/>
        <v>1352904.7303983362</v>
      </c>
      <c r="P457" s="8">
        <f t="shared" ca="1" si="91"/>
        <v>1316990.2067463445</v>
      </c>
      <c r="Q457" s="8">
        <f t="shared" ca="1" si="92"/>
        <v>122376.38243148569</v>
      </c>
      <c r="R457" s="13">
        <v>150000</v>
      </c>
      <c r="S457" s="13">
        <f ca="1">MIN(IF(AND(MONTH(A457)=5,'ÖNYP kalkulátor'!$IU$6="igen"),(M457+N457)*12/(1+IF('ÖNYP kalkulátor'!$C$16="nem",0,VLOOKUP(YEAR(A457),'ÖNYP kalkulátor'!$E$15:$J$75,4)))*0.2,0),R457)</f>
        <v>0</v>
      </c>
      <c r="T457" s="4">
        <f ca="1">(1+VLOOKUP(YEAR(A457),'ÖNYP kalkulátor'!$E$15:$F$75,2,FALSE)+VLOOKUP(YEAR(A457),'ÖNYP kalkulátor'!$E$15:$I$75,5,FALSE))^(1/12)-1</f>
        <v>4.0741237836483535E-3</v>
      </c>
      <c r="U457" s="8">
        <f t="shared" ca="1" si="87"/>
        <v>386319.70827486133</v>
      </c>
      <c r="V457" s="14">
        <f t="shared" ca="1" si="88"/>
        <v>95209091.128566444</v>
      </c>
      <c r="W457" s="8">
        <f t="shared" ca="1" si="89"/>
        <v>30991146.506598271</v>
      </c>
    </row>
    <row r="458" spans="1:23" x14ac:dyDescent="0.2">
      <c r="A458" s="6">
        <f t="shared" ca="1" si="93"/>
        <v>59506</v>
      </c>
      <c r="B458" s="12">
        <f t="shared" ca="1" si="94"/>
        <v>12</v>
      </c>
      <c r="C458" s="7">
        <f ca="1">(YEAR(A458)-YEAR('ÖNYP kalkulátor'!$C$10))+(MONTH(CF!A458)-MONTH('ÖNYP kalkulátor'!$C$10)-1)/12</f>
        <v>81.5</v>
      </c>
      <c r="D458" s="4">
        <f ca="1">(1+VLOOKUP(YEAR(A458),'ÖNYP kalkulátor'!$E$15:$F$75,2,FALSE))^(1/12)-1</f>
        <v>2.4662697723036864E-3</v>
      </c>
      <c r="E458" s="4">
        <f t="shared" ca="1" si="85"/>
        <v>3.0797151183724205</v>
      </c>
      <c r="F458" s="8">
        <f t="shared" ca="1" si="86"/>
        <v>95209091.128566444</v>
      </c>
      <c r="G458" s="8">
        <v>10000</v>
      </c>
      <c r="H458" s="8">
        <v>250000</v>
      </c>
      <c r="I458" s="8">
        <v>500000</v>
      </c>
      <c r="J458" s="8">
        <v>750000</v>
      </c>
      <c r="K458" s="8"/>
      <c r="L458" s="4">
        <f ca="1">+IF('ÖNYP kalkulátor'!$C$16="nem",0,
IF(MONTH(A458)=1,VLOOKUP(YEAR(A458),'ÖNYP kalkulátor'!$E$15:$J$75,4),0))</f>
        <v>0</v>
      </c>
      <c r="M458" s="8">
        <f t="shared" ca="1" si="95"/>
        <v>92243.504345341076</v>
      </c>
      <c r="N458" s="8">
        <f t="shared" ca="1" si="96"/>
        <v>30747.834781780362</v>
      </c>
      <c r="O458" s="8">
        <f t="shared" ca="1" si="90"/>
        <v>1475896.0695254577</v>
      </c>
      <c r="P458" s="8">
        <f t="shared" ca="1" si="91"/>
        <v>1439366.5891778304</v>
      </c>
      <c r="Q458" s="8">
        <f t="shared" ca="1" si="92"/>
        <v>122376.38243148592</v>
      </c>
      <c r="R458" s="13">
        <v>150000</v>
      </c>
      <c r="S458" s="13">
        <f ca="1">MIN(IF(AND(MONTH(A458)=5,'ÖNYP kalkulátor'!$IU$6="igen"),(M458+N458)*12/(1+IF('ÖNYP kalkulátor'!$C$16="nem",0,VLOOKUP(YEAR(A458),'ÖNYP kalkulátor'!$E$15:$J$75,4)))*0.2,0),R458)</f>
        <v>0</v>
      </c>
      <c r="T458" s="4">
        <f ca="1">(1+VLOOKUP(YEAR(A458),'ÖNYP kalkulátor'!$E$15:$F$75,2,FALSE)+VLOOKUP(YEAR(A458),'ÖNYP kalkulátor'!$E$15:$I$75,5,FALSE))^(1/12)-1</f>
        <v>4.0741237836483535E-3</v>
      </c>
      <c r="U458" s="8">
        <f t="shared" ca="1" si="87"/>
        <v>388392.19911665702</v>
      </c>
      <c r="V458" s="14">
        <f t="shared" ca="1" si="88"/>
        <v>95719859.710114598</v>
      </c>
      <c r="W458" s="8">
        <f t="shared" ca="1" si="89"/>
        <v>31080751.313355565</v>
      </c>
    </row>
    <row r="459" spans="1:23" x14ac:dyDescent="0.2">
      <c r="A459" s="6">
        <f t="shared" ca="1" si="93"/>
        <v>59537</v>
      </c>
      <c r="B459" s="12">
        <f t="shared" ca="1" si="94"/>
        <v>1</v>
      </c>
      <c r="C459" s="7">
        <f ca="1">(YEAR(A459)-YEAR('ÖNYP kalkulátor'!$C$10))+(MONTH(CF!A459)-MONTH('ÖNYP kalkulátor'!$C$10)-1)/12</f>
        <v>81.583333333333329</v>
      </c>
      <c r="D459" s="4">
        <f ca="1">(1+VLOOKUP(YEAR(A459),'ÖNYP kalkulátor'!$E$15:$F$75,2,FALSE))^(1/12)-1</f>
        <v>2.4662697723036864E-3</v>
      </c>
      <c r="E459" s="4">
        <f t="shared" ca="1" si="85"/>
        <v>3.0873105266761689</v>
      </c>
      <c r="F459" s="8">
        <f t="shared" ca="1" si="86"/>
        <v>95719859.710114598</v>
      </c>
      <c r="G459" s="8">
        <v>10000</v>
      </c>
      <c r="H459" s="8">
        <v>250000</v>
      </c>
      <c r="I459" s="8">
        <v>500000</v>
      </c>
      <c r="J459" s="8">
        <v>750000</v>
      </c>
      <c r="K459" s="8"/>
      <c r="L459" s="4">
        <f ca="1">+IF('ÖNYP kalkulátor'!$C$16="nem",0,
IF(MONTH(A459)=1,VLOOKUP(YEAR(A459),'ÖNYP kalkulátor'!$E$15:$J$75,4),0))</f>
        <v>0.03</v>
      </c>
      <c r="M459" s="8">
        <f t="shared" ca="1" si="95"/>
        <v>95010.809475701317</v>
      </c>
      <c r="N459" s="8">
        <f t="shared" ca="1" si="96"/>
        <v>31670.269825233772</v>
      </c>
      <c r="O459" s="8">
        <f t="shared" ca="1" si="90"/>
        <v>126681.07930093509</v>
      </c>
      <c r="P459" s="8">
        <f t="shared" ca="1" si="91"/>
        <v>118680.21454287898</v>
      </c>
      <c r="Q459" s="8">
        <f t="shared" ca="1" si="92"/>
        <v>118680.21454287898</v>
      </c>
      <c r="R459" s="13">
        <v>150000</v>
      </c>
      <c r="S459" s="13">
        <f ca="1">MIN(IF(AND(MONTH(A459)=5,'ÖNYP kalkulátor'!$IU$6="igen"),(M459+N459)*12/(1+IF('ÖNYP kalkulátor'!$C$16="nem",0,VLOOKUP(YEAR(A459),'ÖNYP kalkulátor'!$E$15:$J$75,4)))*0.2,0),R459)</f>
        <v>0</v>
      </c>
      <c r="T459" s="4">
        <f ca="1">(1+VLOOKUP(YEAR(A459),'ÖNYP kalkulátor'!$E$15:$F$75,2,FALSE)+VLOOKUP(YEAR(A459),'ÖNYP kalkulátor'!$E$15:$I$75,5,FALSE))^(1/12)-1</f>
        <v>4.0741237836483535E-3</v>
      </c>
      <c r="U459" s="8">
        <f t="shared" ca="1" si="87"/>
        <v>390458.07489717932</v>
      </c>
      <c r="V459" s="14">
        <f t="shared" ca="1" si="88"/>
        <v>96228997.999554664</v>
      </c>
      <c r="W459" s="8">
        <f t="shared" ca="1" si="89"/>
        <v>31169199.589118045</v>
      </c>
    </row>
    <row r="460" spans="1:23" x14ac:dyDescent="0.2">
      <c r="A460" s="6">
        <f t="shared" ca="1" si="93"/>
        <v>59568</v>
      </c>
      <c r="B460" s="12">
        <f t="shared" ca="1" si="94"/>
        <v>2</v>
      </c>
      <c r="C460" s="7">
        <f ca="1">(YEAR(A460)-YEAR('ÖNYP kalkulátor'!$C$10))+(MONTH(CF!A460)-MONTH('ÖNYP kalkulátor'!$C$10)-1)/12</f>
        <v>81.666666666666671</v>
      </c>
      <c r="D460" s="4">
        <f ca="1">(1+VLOOKUP(YEAR(A460),'ÖNYP kalkulátor'!$E$15:$F$75,2,FALSE))^(1/12)-1</f>
        <v>2.4662697723036864E-3</v>
      </c>
      <c r="E460" s="4">
        <f t="shared" ca="1" si="85"/>
        <v>3.0949246673058255</v>
      </c>
      <c r="F460" s="8">
        <f t="shared" ca="1" si="86"/>
        <v>96228997.999554664</v>
      </c>
      <c r="G460" s="8">
        <v>10000</v>
      </c>
      <c r="H460" s="8">
        <v>250000</v>
      </c>
      <c r="I460" s="8">
        <v>500000</v>
      </c>
      <c r="J460" s="8">
        <v>750000</v>
      </c>
      <c r="K460" s="8"/>
      <c r="L460" s="4">
        <f ca="1">+IF('ÖNYP kalkulátor'!$C$16="nem",0,
IF(MONTH(A460)=1,VLOOKUP(YEAR(A460),'ÖNYP kalkulátor'!$E$15:$J$75,4),0))</f>
        <v>0</v>
      </c>
      <c r="M460" s="8">
        <f t="shared" ca="1" si="95"/>
        <v>95010.809475701317</v>
      </c>
      <c r="N460" s="8">
        <f t="shared" ca="1" si="96"/>
        <v>31670.269825233772</v>
      </c>
      <c r="O460" s="8">
        <f t="shared" ca="1" si="90"/>
        <v>253362.15860187018</v>
      </c>
      <c r="P460" s="8">
        <f t="shared" ca="1" si="91"/>
        <v>237794.05067177667</v>
      </c>
      <c r="Q460" s="8">
        <f t="shared" ca="1" si="92"/>
        <v>119113.83612889769</v>
      </c>
      <c r="R460" s="13">
        <v>150000</v>
      </c>
      <c r="S460" s="13">
        <f ca="1">MIN(IF(AND(MONTH(A460)=5,'ÖNYP kalkulátor'!$IU$6="igen"),(M460+N460)*12/(1+IF('ÖNYP kalkulátor'!$C$16="nem",0,VLOOKUP(YEAR(A460),'ÖNYP kalkulátor'!$E$15:$J$75,4)))*0.2,0),R460)</f>
        <v>0</v>
      </c>
      <c r="T460" s="4">
        <f ca="1">(1+VLOOKUP(YEAR(A460),'ÖNYP kalkulátor'!$E$15:$F$75,2,FALSE)+VLOOKUP(YEAR(A460),'ÖNYP kalkulátor'!$E$15:$I$75,5,FALSE))^(1/12)-1</f>
        <v>4.0741237836483535E-3</v>
      </c>
      <c r="U460" s="8">
        <f t="shared" ca="1" si="87"/>
        <v>392534.13393936981</v>
      </c>
      <c r="V460" s="14">
        <f t="shared" ca="1" si="88"/>
        <v>96740645.969622925</v>
      </c>
      <c r="W460" s="8">
        <f t="shared" ca="1" si="89"/>
        <v>31257835.446391329</v>
      </c>
    </row>
    <row r="461" spans="1:23" x14ac:dyDescent="0.2">
      <c r="A461" s="6">
        <f t="shared" ca="1" si="93"/>
        <v>59596</v>
      </c>
      <c r="B461" s="12">
        <f t="shared" ca="1" si="94"/>
        <v>3</v>
      </c>
      <c r="C461" s="7">
        <f ca="1">(YEAR(A461)-YEAR('ÖNYP kalkulátor'!$C$10))+(MONTH(CF!A461)-MONTH('ÖNYP kalkulátor'!$C$10)-1)/12</f>
        <v>81.75</v>
      </c>
      <c r="D461" s="4">
        <f ca="1">(1+VLOOKUP(YEAR(A461),'ÖNYP kalkulátor'!$E$15:$F$75,2,FALSE))^(1/12)-1</f>
        <v>2.4662697723036864E-3</v>
      </c>
      <c r="E461" s="4">
        <f t="shared" ca="1" si="85"/>
        <v>3.102557586460359</v>
      </c>
      <c r="F461" s="8">
        <f t="shared" ca="1" si="86"/>
        <v>96740645.969622925</v>
      </c>
      <c r="G461" s="8">
        <v>10000</v>
      </c>
      <c r="H461" s="8">
        <v>250000</v>
      </c>
      <c r="I461" s="8">
        <v>500000</v>
      </c>
      <c r="J461" s="8">
        <v>750000</v>
      </c>
      <c r="K461" s="8"/>
      <c r="L461" s="4">
        <f ca="1">+IF('ÖNYP kalkulátor'!$C$16="nem",0,
IF(MONTH(A461)=1,VLOOKUP(YEAR(A461),'ÖNYP kalkulátor'!$E$15:$J$75,4),0))</f>
        <v>0</v>
      </c>
      <c r="M461" s="8">
        <f t="shared" ca="1" si="95"/>
        <v>95010.809475701317</v>
      </c>
      <c r="N461" s="8">
        <f t="shared" ca="1" si="96"/>
        <v>31670.269825233772</v>
      </c>
      <c r="O461" s="8">
        <f t="shared" ca="1" si="90"/>
        <v>380043.23790280527</v>
      </c>
      <c r="P461" s="8">
        <f t="shared" ca="1" si="91"/>
        <v>358141.07600766502</v>
      </c>
      <c r="Q461" s="8">
        <f t="shared" ca="1" si="92"/>
        <v>120347.02533588835</v>
      </c>
      <c r="R461" s="13">
        <v>150000</v>
      </c>
      <c r="S461" s="13">
        <f ca="1">MIN(IF(AND(MONTH(A461)=5,'ÖNYP kalkulátor'!$IU$6="igen"),(M461+N461)*12/(1+IF('ÖNYP kalkulátor'!$C$16="nem",0,VLOOKUP(YEAR(A461),'ÖNYP kalkulátor'!$E$15:$J$75,4)))*0.2,0),R461)</f>
        <v>0</v>
      </c>
      <c r="T461" s="4">
        <f ca="1">(1+VLOOKUP(YEAR(A461),'ÖNYP kalkulátor'!$E$15:$F$75,2,FALSE)+VLOOKUP(YEAR(A461),'ÖNYP kalkulátor'!$E$15:$I$75,5,FALSE))^(1/12)-1</f>
        <v>4.0741237836483535E-3</v>
      </c>
      <c r="U461" s="8">
        <f t="shared" ca="1" si="87"/>
        <v>394623.67526855826</v>
      </c>
      <c r="V461" s="14">
        <f t="shared" ca="1" si="88"/>
        <v>97255616.670227379</v>
      </c>
      <c r="W461" s="8">
        <f t="shared" ca="1" si="89"/>
        <v>31346917.489832707</v>
      </c>
    </row>
    <row r="462" spans="1:23" x14ac:dyDescent="0.2">
      <c r="A462" s="6">
        <f t="shared" ca="1" si="93"/>
        <v>59627</v>
      </c>
      <c r="B462" s="12">
        <f t="shared" ca="1" si="94"/>
        <v>4</v>
      </c>
      <c r="C462" s="7">
        <f ca="1">(YEAR(A462)-YEAR('ÖNYP kalkulátor'!$C$10))+(MONTH(CF!A462)-MONTH('ÖNYP kalkulátor'!$C$10)-1)/12</f>
        <v>81.833333333333329</v>
      </c>
      <c r="D462" s="4">
        <f ca="1">(1+VLOOKUP(YEAR(A462),'ÖNYP kalkulátor'!$E$15:$F$75,2,FALSE))^(1/12)-1</f>
        <v>2.4662697723036864E-3</v>
      </c>
      <c r="E462" s="4">
        <f t="shared" ca="1" si="85"/>
        <v>3.1102093304526774</v>
      </c>
      <c r="F462" s="8">
        <f t="shared" ca="1" si="86"/>
        <v>97255616.670227379</v>
      </c>
      <c r="G462" s="8">
        <v>10000</v>
      </c>
      <c r="H462" s="8">
        <v>250000</v>
      </c>
      <c r="I462" s="8">
        <v>500000</v>
      </c>
      <c r="J462" s="8">
        <v>750000</v>
      </c>
      <c r="K462" s="8"/>
      <c r="L462" s="4">
        <f ca="1">+IF('ÖNYP kalkulátor'!$C$16="nem",0,
IF(MONTH(A462)=1,VLOOKUP(YEAR(A462),'ÖNYP kalkulátor'!$E$15:$J$75,4),0))</f>
        <v>0</v>
      </c>
      <c r="M462" s="8">
        <f t="shared" ca="1" si="95"/>
        <v>95010.809475701317</v>
      </c>
      <c r="N462" s="8">
        <f t="shared" ca="1" si="96"/>
        <v>31670.269825233772</v>
      </c>
      <c r="O462" s="8">
        <f t="shared" ca="1" si="90"/>
        <v>506724.31720374036</v>
      </c>
      <c r="P462" s="8">
        <f t="shared" ca="1" si="91"/>
        <v>478689.83085966553</v>
      </c>
      <c r="Q462" s="8">
        <f t="shared" ca="1" si="92"/>
        <v>120548.75485200051</v>
      </c>
      <c r="R462" s="13">
        <v>150000</v>
      </c>
      <c r="S462" s="13">
        <f ca="1">MIN(IF(AND(MONTH(A462)=5,'ÖNYP kalkulátor'!$IU$6="igen"),(M462+N462)*12/(1+IF('ÖNYP kalkulátor'!$C$16="nem",0,VLOOKUP(YEAR(A462),'ÖNYP kalkulátor'!$E$15:$J$75,4)))*0.2,0),R462)</f>
        <v>0</v>
      </c>
      <c r="T462" s="4">
        <f ca="1">(1+VLOOKUP(YEAR(A462),'ÖNYP kalkulátor'!$E$15:$F$75,2,FALSE)+VLOOKUP(YEAR(A462),'ÖNYP kalkulátor'!$E$15:$I$75,5,FALSE))^(1/12)-1</f>
        <v>4.0741237836483535E-3</v>
      </c>
      <c r="U462" s="8">
        <f t="shared" ca="1" si="87"/>
        <v>396722.55151879234</v>
      </c>
      <c r="V462" s="14">
        <f t="shared" ca="1" si="88"/>
        <v>97772887.976598173</v>
      </c>
      <c r="W462" s="8">
        <f t="shared" ca="1" si="89"/>
        <v>31436111.717396125</v>
      </c>
    </row>
    <row r="463" spans="1:23" x14ac:dyDescent="0.2">
      <c r="A463" s="6">
        <f t="shared" ca="1" si="93"/>
        <v>59657</v>
      </c>
      <c r="B463" s="12">
        <f t="shared" ca="1" si="94"/>
        <v>5</v>
      </c>
      <c r="C463" s="7">
        <f ca="1">(YEAR(A463)-YEAR('ÖNYP kalkulátor'!$C$10))+(MONTH(CF!A463)-MONTH('ÖNYP kalkulátor'!$C$10)-1)/12</f>
        <v>81.916666666666671</v>
      </c>
      <c r="D463" s="4">
        <f ca="1">(1+VLOOKUP(YEAR(A463),'ÖNYP kalkulátor'!$E$15:$F$75,2,FALSE))^(1/12)-1</f>
        <v>2.4662697723036864E-3</v>
      </c>
      <c r="E463" s="4">
        <f t="shared" ca="1" si="85"/>
        <v>3.1178799457099098</v>
      </c>
      <c r="F463" s="8">
        <f t="shared" ca="1" si="86"/>
        <v>97772887.976598173</v>
      </c>
      <c r="G463" s="8">
        <v>10000</v>
      </c>
      <c r="H463" s="8">
        <v>250000</v>
      </c>
      <c r="I463" s="8">
        <v>500000</v>
      </c>
      <c r="J463" s="8">
        <v>750000</v>
      </c>
      <c r="K463" s="8"/>
      <c r="L463" s="4">
        <f ca="1">+IF('ÖNYP kalkulátor'!$C$16="nem",0,
IF(MONTH(A463)=1,VLOOKUP(YEAR(A463),'ÖNYP kalkulátor'!$E$15:$J$75,4),0))</f>
        <v>0</v>
      </c>
      <c r="M463" s="8">
        <f t="shared" ca="1" si="95"/>
        <v>95010.809475701317</v>
      </c>
      <c r="N463" s="8">
        <f t="shared" ca="1" si="96"/>
        <v>31670.269825233772</v>
      </c>
      <c r="O463" s="8">
        <f t="shared" ca="1" si="90"/>
        <v>633405.39650467539</v>
      </c>
      <c r="P463" s="8">
        <f t="shared" ca="1" si="91"/>
        <v>602837.28857458185</v>
      </c>
      <c r="Q463" s="8">
        <f t="shared" ca="1" si="92"/>
        <v>124147.45771491632</v>
      </c>
      <c r="R463" s="13">
        <v>150000</v>
      </c>
      <c r="S463" s="13">
        <f ca="1">MIN(IF(AND(MONTH(A463)=5,'ÖNYP kalkulátor'!$IU$6="igen"),(M463+N463)*12/(1+IF('ÖNYP kalkulátor'!$C$16="nem",0,VLOOKUP(YEAR(A463),'ÖNYP kalkulátor'!$E$15:$J$75,4)))*0.2,0),R463)</f>
        <v>150000</v>
      </c>
      <c r="T463" s="4">
        <f ca="1">(1+VLOOKUP(YEAR(A463),'ÖNYP kalkulátor'!$E$15:$F$75,2,FALSE)+VLOOKUP(YEAR(A463),'ÖNYP kalkulátor'!$E$15:$I$75,5,FALSE))^(1/12)-1</f>
        <v>4.0741237836483535E-3</v>
      </c>
      <c r="U463" s="8">
        <f t="shared" ca="1" si="87"/>
        <v>399455.75897914782</v>
      </c>
      <c r="V463" s="14">
        <f t="shared" ca="1" si="88"/>
        <v>98446491.19329223</v>
      </c>
      <c r="W463" s="8">
        <f t="shared" ca="1" si="89"/>
        <v>31574817.795262147</v>
      </c>
    </row>
    <row r="464" spans="1:23" x14ac:dyDescent="0.2">
      <c r="A464" s="6">
        <f t="shared" ca="1" si="93"/>
        <v>59688</v>
      </c>
      <c r="B464" s="12">
        <f t="shared" ca="1" si="94"/>
        <v>6</v>
      </c>
      <c r="C464" s="7">
        <f ca="1">(YEAR(A464)-YEAR('ÖNYP kalkulátor'!$C$10))+(MONTH(CF!A464)-MONTH('ÖNYP kalkulátor'!$C$10)-1)/12</f>
        <v>82</v>
      </c>
      <c r="D464" s="4">
        <f ca="1">(1+VLOOKUP(YEAR(A464),'ÖNYP kalkulátor'!$E$15:$F$75,2,FALSE))^(1/12)-1</f>
        <v>2.4662697723036864E-3</v>
      </c>
      <c r="E464" s="4">
        <f t="shared" ca="1" si="85"/>
        <v>3.1255694787736861</v>
      </c>
      <c r="F464" s="8">
        <f t="shared" ca="1" si="86"/>
        <v>98446491.19329223</v>
      </c>
      <c r="G464" s="8">
        <v>10000</v>
      </c>
      <c r="H464" s="8">
        <v>250000</v>
      </c>
      <c r="I464" s="8">
        <v>500000</v>
      </c>
      <c r="J464" s="8">
        <v>750000</v>
      </c>
      <c r="K464" s="8"/>
      <c r="L464" s="4">
        <f ca="1">+IF('ÖNYP kalkulátor'!$C$16="nem",0,
IF(MONTH(A464)=1,VLOOKUP(YEAR(A464),'ÖNYP kalkulátor'!$E$15:$J$75,4),0))</f>
        <v>0</v>
      </c>
      <c r="M464" s="8">
        <f t="shared" ca="1" si="95"/>
        <v>95010.809475701317</v>
      </c>
      <c r="N464" s="8">
        <f t="shared" ca="1" si="96"/>
        <v>31670.269825233772</v>
      </c>
      <c r="O464" s="8">
        <f t="shared" ca="1" si="90"/>
        <v>760086.47580561042</v>
      </c>
      <c r="P464" s="8">
        <f t="shared" ca="1" si="91"/>
        <v>727136.04342658236</v>
      </c>
      <c r="Q464" s="8">
        <f t="shared" ca="1" si="92"/>
        <v>124298.75485200051</v>
      </c>
      <c r="R464" s="13">
        <v>150000</v>
      </c>
      <c r="S464" s="13">
        <f ca="1">MIN(IF(AND(MONTH(A464)=5,'ÖNYP kalkulátor'!$IU$6="igen"),(M464+N464)*12/(1+IF('ÖNYP kalkulátor'!$C$16="nem",0,VLOOKUP(YEAR(A464),'ÖNYP kalkulátor'!$E$15:$J$75,4)))*0.2,0),R464)</f>
        <v>0</v>
      </c>
      <c r="T464" s="4">
        <f ca="1">(1+VLOOKUP(YEAR(A464),'ÖNYP kalkulátor'!$E$15:$F$75,2,FALSE)+VLOOKUP(YEAR(A464),'ÖNYP kalkulátor'!$E$15:$I$75,5,FALSE))^(1/12)-1</f>
        <v>4.0741237836483535E-3</v>
      </c>
      <c r="U464" s="8">
        <f t="shared" ca="1" si="87"/>
        <v>401589.59970074042</v>
      </c>
      <c r="V464" s="14">
        <f t="shared" ca="1" si="88"/>
        <v>98972379.547844961</v>
      </c>
      <c r="W464" s="8">
        <f t="shared" ca="1" si="89"/>
        <v>31665390.969544746</v>
      </c>
    </row>
    <row r="465" spans="1:23" x14ac:dyDescent="0.2">
      <c r="A465" s="6">
        <f t="shared" ca="1" si="93"/>
        <v>59718</v>
      </c>
      <c r="B465" s="12">
        <f t="shared" ca="1" si="94"/>
        <v>7</v>
      </c>
      <c r="C465" s="7">
        <f ca="1">(YEAR(A465)-YEAR('ÖNYP kalkulátor'!$C$10))+(MONTH(CF!A465)-MONTH('ÖNYP kalkulátor'!$C$10)-1)/12</f>
        <v>82.083333333333329</v>
      </c>
      <c r="D465" s="4">
        <f ca="1">(1+VLOOKUP(YEAR(A465),'ÖNYP kalkulátor'!$E$15:$F$75,2,FALSE))^(1/12)-1</f>
        <v>2.4662697723036864E-3</v>
      </c>
      <c r="E465" s="4">
        <f t="shared" ca="1" si="85"/>
        <v>3.1332779763004206</v>
      </c>
      <c r="F465" s="8">
        <f t="shared" ca="1" si="86"/>
        <v>98972379.547844961</v>
      </c>
      <c r="G465" s="8">
        <v>10000</v>
      </c>
      <c r="H465" s="8">
        <v>250000</v>
      </c>
      <c r="I465" s="8">
        <v>500000</v>
      </c>
      <c r="J465" s="8">
        <v>750000</v>
      </c>
      <c r="K465" s="8"/>
      <c r="L465" s="4">
        <f ca="1">+IF('ÖNYP kalkulátor'!$C$16="nem",0,
IF(MONTH(A465)=1,VLOOKUP(YEAR(A465),'ÖNYP kalkulátor'!$E$15:$J$75,4),0))</f>
        <v>0</v>
      </c>
      <c r="M465" s="8">
        <f t="shared" ca="1" si="95"/>
        <v>95010.809475701317</v>
      </c>
      <c r="N465" s="8">
        <f t="shared" ca="1" si="96"/>
        <v>31670.269825233772</v>
      </c>
      <c r="O465" s="8">
        <f t="shared" ca="1" si="90"/>
        <v>886767.55510654545</v>
      </c>
      <c r="P465" s="8">
        <f t="shared" ca="1" si="91"/>
        <v>853183.71733101271</v>
      </c>
      <c r="Q465" s="8">
        <f t="shared" ca="1" si="92"/>
        <v>126047.67390443035</v>
      </c>
      <c r="R465" s="13">
        <v>150000</v>
      </c>
      <c r="S465" s="13">
        <f ca="1">MIN(IF(AND(MONTH(A465)=5,'ÖNYP kalkulátor'!$IU$6="igen"),(M465+N465)*12/(1+IF('ÖNYP kalkulátor'!$C$16="nem",0,VLOOKUP(YEAR(A465),'ÖNYP kalkulátor'!$E$15:$J$75,4)))*0.2,0),R465)</f>
        <v>0</v>
      </c>
      <c r="T465" s="4">
        <f ca="1">(1+VLOOKUP(YEAR(A465),'ÖNYP kalkulátor'!$E$15:$F$75,2,FALSE)+VLOOKUP(YEAR(A465),'ÖNYP kalkulátor'!$E$15:$I$75,5,FALSE))^(1/12)-1</f>
        <v>4.0741237836483535E-3</v>
      </c>
      <c r="U465" s="8">
        <f t="shared" ca="1" si="87"/>
        <v>403739.25926627463</v>
      </c>
      <c r="V465" s="14">
        <f t="shared" ca="1" si="88"/>
        <v>99502166.481015667</v>
      </c>
      <c r="W465" s="8">
        <f t="shared" ca="1" si="89"/>
        <v>31756571.626786087</v>
      </c>
    </row>
    <row r="466" spans="1:23" x14ac:dyDescent="0.2">
      <c r="A466" s="6">
        <f t="shared" ca="1" si="93"/>
        <v>59749</v>
      </c>
      <c r="B466" s="12">
        <f t="shared" ca="1" si="94"/>
        <v>8</v>
      </c>
      <c r="C466" s="7">
        <f ca="1">(YEAR(A466)-YEAR('ÖNYP kalkulátor'!$C$10))+(MONTH(CF!A466)-MONTH('ÖNYP kalkulátor'!$C$10)-1)/12</f>
        <v>82.166666666666671</v>
      </c>
      <c r="D466" s="4">
        <f ca="1">(1+VLOOKUP(YEAR(A466),'ÖNYP kalkulátor'!$E$15:$F$75,2,FALSE))^(1/12)-1</f>
        <v>2.4662697723036864E-3</v>
      </c>
      <c r="E466" s="4">
        <f t="shared" ca="1" si="85"/>
        <v>3.1410054850615952</v>
      </c>
      <c r="F466" s="8">
        <f t="shared" ca="1" si="86"/>
        <v>99502166.481015667</v>
      </c>
      <c r="G466" s="8">
        <v>10000</v>
      </c>
      <c r="H466" s="8">
        <v>250000</v>
      </c>
      <c r="I466" s="8">
        <v>500000</v>
      </c>
      <c r="J466" s="8">
        <v>750000</v>
      </c>
      <c r="K466" s="8"/>
      <c r="L466" s="4">
        <f ca="1">+IF('ÖNYP kalkulátor'!$C$16="nem",0,
IF(MONTH(A466)=1,VLOOKUP(YEAR(A466),'ÖNYP kalkulátor'!$E$15:$J$75,4),0))</f>
        <v>0</v>
      </c>
      <c r="M466" s="8">
        <f t="shared" ca="1" si="95"/>
        <v>95010.809475701317</v>
      </c>
      <c r="N466" s="8">
        <f t="shared" ca="1" si="96"/>
        <v>31670.269825233772</v>
      </c>
      <c r="O466" s="8">
        <f t="shared" ca="1" si="90"/>
        <v>1013448.6344074805</v>
      </c>
      <c r="P466" s="8">
        <f t="shared" ca="1" si="91"/>
        <v>979231.39123544306</v>
      </c>
      <c r="Q466" s="8">
        <f t="shared" ca="1" si="92"/>
        <v>126047.67390443035</v>
      </c>
      <c r="R466" s="13">
        <v>150000</v>
      </c>
      <c r="S466" s="13">
        <f ca="1">MIN(IF(AND(MONTH(A466)=5,'ÖNYP kalkulátor'!$IU$6="igen"),(M466+N466)*12/(1+IF('ÖNYP kalkulátor'!$C$16="nem",0,VLOOKUP(YEAR(A466),'ÖNYP kalkulátor'!$E$15:$J$75,4)))*0.2,0),R466)</f>
        <v>0</v>
      </c>
      <c r="T466" s="4">
        <f ca="1">(1+VLOOKUP(YEAR(A466),'ÖNYP kalkulátor'!$E$15:$F$75,2,FALSE)+VLOOKUP(YEAR(A466),'ÖNYP kalkulátor'!$E$15:$I$75,5,FALSE))^(1/12)-1</f>
        <v>4.0741237836483535E-3</v>
      </c>
      <c r="U466" s="8">
        <f t="shared" ca="1" si="87"/>
        <v>405897.67681097152</v>
      </c>
      <c r="V466" s="14">
        <f t="shared" ca="1" si="88"/>
        <v>100034111.83173107</v>
      </c>
      <c r="W466" s="8">
        <f t="shared" ca="1" si="89"/>
        <v>31847799.154597592</v>
      </c>
    </row>
    <row r="467" spans="1:23" x14ac:dyDescent="0.2">
      <c r="A467" s="6">
        <f t="shared" ca="1" si="93"/>
        <v>59780</v>
      </c>
      <c r="B467" s="12">
        <f t="shared" ca="1" si="94"/>
        <v>9</v>
      </c>
      <c r="C467" s="7">
        <f ca="1">(YEAR(A467)-YEAR('ÖNYP kalkulátor'!$C$10))+(MONTH(CF!A467)-MONTH('ÖNYP kalkulátor'!$C$10)-1)/12</f>
        <v>82.25</v>
      </c>
      <c r="D467" s="4">
        <f ca="1">(1+VLOOKUP(YEAR(A467),'ÖNYP kalkulátor'!$E$15:$F$75,2,FALSE))^(1/12)-1</f>
        <v>2.4662697723036864E-3</v>
      </c>
      <c r="E467" s="4">
        <f t="shared" ca="1" si="85"/>
        <v>3.1487520519440428</v>
      </c>
      <c r="F467" s="8">
        <f t="shared" ca="1" si="86"/>
        <v>100034111.83173107</v>
      </c>
      <c r="G467" s="8">
        <v>10000</v>
      </c>
      <c r="H467" s="8">
        <v>250000</v>
      </c>
      <c r="I467" s="8">
        <v>500000</v>
      </c>
      <c r="J467" s="8">
        <v>750000</v>
      </c>
      <c r="K467" s="8"/>
      <c r="L467" s="4">
        <f ca="1">+IF('ÖNYP kalkulátor'!$C$16="nem",0,
IF(MONTH(A467)=1,VLOOKUP(YEAR(A467),'ÖNYP kalkulátor'!$E$15:$J$75,4),0))</f>
        <v>0</v>
      </c>
      <c r="M467" s="8">
        <f t="shared" ca="1" si="95"/>
        <v>95010.809475701317</v>
      </c>
      <c r="N467" s="8">
        <f t="shared" ca="1" si="96"/>
        <v>31670.269825233772</v>
      </c>
      <c r="O467" s="8">
        <f t="shared" ca="1" si="90"/>
        <v>1140129.7137084156</v>
      </c>
      <c r="P467" s="8">
        <f t="shared" ca="1" si="91"/>
        <v>1105279.0651398734</v>
      </c>
      <c r="Q467" s="8">
        <f t="shared" ca="1" si="92"/>
        <v>126047.67390443035</v>
      </c>
      <c r="R467" s="13">
        <v>150000</v>
      </c>
      <c r="S467" s="13">
        <f ca="1">MIN(IF(AND(MONTH(A467)=5,'ÖNYP kalkulátor'!$IU$6="igen"),(M467+N467)*12/(1+IF('ÖNYP kalkulátor'!$C$16="nem",0,VLOOKUP(YEAR(A467),'ÖNYP kalkulátor'!$E$15:$J$75,4)))*0.2,0),R467)</f>
        <v>0</v>
      </c>
      <c r="T467" s="4">
        <f ca="1">(1+VLOOKUP(YEAR(A467),'ÖNYP kalkulátor'!$E$15:$F$75,2,FALSE)+VLOOKUP(YEAR(A467),'ÖNYP kalkulátor'!$E$15:$I$75,5,FALSE))^(1/12)-1</f>
        <v>4.0741237836483535E-3</v>
      </c>
      <c r="U467" s="8">
        <f t="shared" ca="1" si="87"/>
        <v>408064.88801592228</v>
      </c>
      <c r="V467" s="14">
        <f t="shared" ca="1" si="88"/>
        <v>100568224.39365143</v>
      </c>
      <c r="W467" s="8">
        <f t="shared" ca="1" si="89"/>
        <v>31939073.872634873</v>
      </c>
    </row>
    <row r="468" spans="1:23" x14ac:dyDescent="0.2">
      <c r="A468" s="6">
        <f t="shared" ca="1" si="93"/>
        <v>59810</v>
      </c>
      <c r="B468" s="12">
        <f t="shared" ca="1" si="94"/>
        <v>10</v>
      </c>
      <c r="C468" s="7">
        <f ca="1">(YEAR(A468)-YEAR('ÖNYP kalkulátor'!$C$10))+(MONTH(CF!A468)-MONTH('ÖNYP kalkulátor'!$C$10)-1)/12</f>
        <v>82.333333333333329</v>
      </c>
      <c r="D468" s="4">
        <f ca="1">(1+VLOOKUP(YEAR(A468),'ÖNYP kalkulátor'!$E$15:$F$75,2,FALSE))^(1/12)-1</f>
        <v>2.4662697723036864E-3</v>
      </c>
      <c r="E468" s="4">
        <f t="shared" ca="1" si="85"/>
        <v>3.1565177239502318</v>
      </c>
      <c r="F468" s="8">
        <f t="shared" ca="1" si="86"/>
        <v>100568224.39365143</v>
      </c>
      <c r="G468" s="8">
        <v>10000</v>
      </c>
      <c r="H468" s="8">
        <v>250000</v>
      </c>
      <c r="I468" s="8">
        <v>500000</v>
      </c>
      <c r="J468" s="8">
        <v>750000</v>
      </c>
      <c r="K468" s="8"/>
      <c r="L468" s="4">
        <f ca="1">+IF('ÖNYP kalkulátor'!$C$16="nem",0,
IF(MONTH(A468)=1,VLOOKUP(YEAR(A468),'ÖNYP kalkulátor'!$E$15:$J$75,4),0))</f>
        <v>0</v>
      </c>
      <c r="M468" s="8">
        <f t="shared" ca="1" si="95"/>
        <v>95010.809475701317</v>
      </c>
      <c r="N468" s="8">
        <f t="shared" ca="1" si="96"/>
        <v>31670.269825233772</v>
      </c>
      <c r="O468" s="8">
        <f t="shared" ca="1" si="90"/>
        <v>1266810.7930093508</v>
      </c>
      <c r="P468" s="8">
        <f t="shared" ca="1" si="91"/>
        <v>1231326.739044304</v>
      </c>
      <c r="Q468" s="8">
        <f t="shared" ca="1" si="92"/>
        <v>126047.67390443059</v>
      </c>
      <c r="R468" s="13">
        <v>150000</v>
      </c>
      <c r="S468" s="13">
        <f ca="1">MIN(IF(AND(MONTH(A468)=5,'ÖNYP kalkulátor'!$IU$6="igen"),(M468+N468)*12/(1+IF('ÖNYP kalkulátor'!$C$16="nem",0,VLOOKUP(YEAR(A468),'ÖNYP kalkulátor'!$E$15:$J$75,4)))*0.2,0),R468)</f>
        <v>0</v>
      </c>
      <c r="T468" s="4">
        <f ca="1">(1+VLOOKUP(YEAR(A468),'ÖNYP kalkulátor'!$E$15:$F$75,2,FALSE)+VLOOKUP(YEAR(A468),'ÖNYP kalkulátor'!$E$15:$I$75,5,FALSE))^(1/12)-1</f>
        <v>4.0741237836483535E-3</v>
      </c>
      <c r="U468" s="8">
        <f t="shared" ca="1" si="87"/>
        <v>410240.92870758742</v>
      </c>
      <c r="V468" s="14">
        <f t="shared" ca="1" si="88"/>
        <v>101104512.99626344</v>
      </c>
      <c r="W468" s="8">
        <f t="shared" ca="1" si="89"/>
        <v>32030396.100464772</v>
      </c>
    </row>
    <row r="469" spans="1:23" x14ac:dyDescent="0.2">
      <c r="A469" s="6">
        <f t="shared" ca="1" si="93"/>
        <v>59841</v>
      </c>
      <c r="B469" s="12">
        <f t="shared" ca="1" si="94"/>
        <v>11</v>
      </c>
      <c r="C469" s="7">
        <f ca="1">(YEAR(A469)-YEAR('ÖNYP kalkulátor'!$C$10))+(MONTH(CF!A469)-MONTH('ÖNYP kalkulátor'!$C$10)-1)/12</f>
        <v>82.416666666666671</v>
      </c>
      <c r="D469" s="4">
        <f ca="1">(1+VLOOKUP(YEAR(A469),'ÖNYP kalkulátor'!$E$15:$F$75,2,FALSE))^(1/12)-1</f>
        <v>2.4662697723036864E-3</v>
      </c>
      <c r="E469" s="4">
        <f t="shared" ca="1" si="85"/>
        <v>3.1643025481985512</v>
      </c>
      <c r="F469" s="8">
        <f t="shared" ca="1" si="86"/>
        <v>101104512.99626344</v>
      </c>
      <c r="G469" s="8">
        <v>10000</v>
      </c>
      <c r="H469" s="8">
        <v>250000</v>
      </c>
      <c r="I469" s="8">
        <v>500000</v>
      </c>
      <c r="J469" s="8">
        <v>750000</v>
      </c>
      <c r="K469" s="8"/>
      <c r="L469" s="4">
        <f ca="1">+IF('ÖNYP kalkulátor'!$C$16="nem",0,
IF(MONTH(A469)=1,VLOOKUP(YEAR(A469),'ÖNYP kalkulátor'!$E$15:$J$75,4),0))</f>
        <v>0</v>
      </c>
      <c r="M469" s="8">
        <f t="shared" ca="1" si="95"/>
        <v>95010.809475701317</v>
      </c>
      <c r="N469" s="8">
        <f t="shared" ca="1" si="96"/>
        <v>31670.269825233772</v>
      </c>
      <c r="O469" s="8">
        <f t="shared" ca="1" si="90"/>
        <v>1393491.8723102859</v>
      </c>
      <c r="P469" s="8">
        <f t="shared" ca="1" si="91"/>
        <v>1357374.4129487346</v>
      </c>
      <c r="Q469" s="8">
        <f t="shared" ca="1" si="92"/>
        <v>126047.67390443059</v>
      </c>
      <c r="R469" s="13">
        <v>150000</v>
      </c>
      <c r="S469" s="13">
        <f ca="1">MIN(IF(AND(MONTH(A469)=5,'ÖNYP kalkulátor'!$IU$6="igen"),(M469+N469)*12/(1+IF('ÖNYP kalkulátor'!$C$16="nem",0,VLOOKUP(YEAR(A469),'ÖNYP kalkulátor'!$E$15:$J$75,4)))*0.2,0),R469)</f>
        <v>0</v>
      </c>
      <c r="T469" s="4">
        <f ca="1">(1+VLOOKUP(YEAR(A469),'ÖNYP kalkulátor'!$E$15:$F$75,2,FALSE)+VLOOKUP(YEAR(A469),'ÖNYP kalkulátor'!$E$15:$I$75,5,FALSE))^(1/12)-1</f>
        <v>4.0741237836483535E-3</v>
      </c>
      <c r="U469" s="8">
        <f t="shared" ca="1" si="87"/>
        <v>412425.83485838858</v>
      </c>
      <c r="V469" s="14">
        <f t="shared" ca="1" si="88"/>
        <v>101642986.50502627</v>
      </c>
      <c r="W469" s="8">
        <f t="shared" ca="1" si="89"/>
        <v>32121766.157566693</v>
      </c>
    </row>
    <row r="470" spans="1:23" x14ac:dyDescent="0.2">
      <c r="A470" s="6">
        <f t="shared" ca="1" si="93"/>
        <v>59871</v>
      </c>
      <c r="B470" s="12">
        <f t="shared" ca="1" si="94"/>
        <v>12</v>
      </c>
      <c r="C470" s="7">
        <f ca="1">(YEAR(A470)-YEAR('ÖNYP kalkulátor'!$C$10))+(MONTH(CF!A470)-MONTH('ÖNYP kalkulátor'!$C$10)-1)/12</f>
        <v>82.5</v>
      </c>
      <c r="D470" s="4">
        <f ca="1">(1+VLOOKUP(YEAR(A470),'ÖNYP kalkulátor'!$E$15:$F$75,2,FALSE))^(1/12)-1</f>
        <v>2.4662697723036864E-3</v>
      </c>
      <c r="E470" s="4">
        <f t="shared" ca="1" si="85"/>
        <v>3.1721065719235968</v>
      </c>
      <c r="F470" s="8">
        <f t="shared" ca="1" si="86"/>
        <v>101642986.50502627</v>
      </c>
      <c r="G470" s="8">
        <v>10000</v>
      </c>
      <c r="H470" s="8">
        <v>250000</v>
      </c>
      <c r="I470" s="8">
        <v>500000</v>
      </c>
      <c r="J470" s="8">
        <v>750000</v>
      </c>
      <c r="K470" s="8"/>
      <c r="L470" s="4">
        <f ca="1">+IF('ÖNYP kalkulátor'!$C$16="nem",0,
IF(MONTH(A470)=1,VLOOKUP(YEAR(A470),'ÖNYP kalkulátor'!$E$15:$J$75,4),0))</f>
        <v>0</v>
      </c>
      <c r="M470" s="8">
        <f t="shared" ca="1" si="95"/>
        <v>95010.809475701317</v>
      </c>
      <c r="N470" s="8">
        <f t="shared" ca="1" si="96"/>
        <v>31670.269825233772</v>
      </c>
      <c r="O470" s="8">
        <f t="shared" ca="1" si="90"/>
        <v>1520172.9516112211</v>
      </c>
      <c r="P470" s="8">
        <f t="shared" ca="1" si="91"/>
        <v>1483422.0868531649</v>
      </c>
      <c r="Q470" s="8">
        <f t="shared" ca="1" si="92"/>
        <v>126047.67390443035</v>
      </c>
      <c r="R470" s="13">
        <v>150000</v>
      </c>
      <c r="S470" s="13">
        <f ca="1">MIN(IF(AND(MONTH(A470)=5,'ÖNYP kalkulátor'!$IU$6="igen"),(M470+N470)*12/(1+IF('ÖNYP kalkulátor'!$C$16="nem",0,VLOOKUP(YEAR(A470),'ÖNYP kalkulátor'!$E$15:$J$75,4)))*0.2,0),R470)</f>
        <v>0</v>
      </c>
      <c r="T470" s="4">
        <f ca="1">(1+VLOOKUP(YEAR(A470),'ÖNYP kalkulátor'!$E$15:$F$75,2,FALSE)+VLOOKUP(YEAR(A470),'ÖNYP kalkulátor'!$E$15:$I$75,5,FALSE))^(1/12)-1</f>
        <v>4.0741237836483535E-3</v>
      </c>
      <c r="U470" s="8">
        <f t="shared" ca="1" si="87"/>
        <v>414619.64258730377</v>
      </c>
      <c r="V470" s="14">
        <f t="shared" ca="1" si="88"/>
        <v>102183653.821518</v>
      </c>
      <c r="W470" s="8">
        <f t="shared" ca="1" si="89"/>
        <v>32213184.363333929</v>
      </c>
    </row>
    <row r="471" spans="1:23" x14ac:dyDescent="0.2">
      <c r="A471" s="6">
        <f t="shared" ca="1" si="93"/>
        <v>59902</v>
      </c>
      <c r="B471" s="12">
        <f t="shared" ca="1" si="94"/>
        <v>1</v>
      </c>
      <c r="C471" s="7">
        <f ca="1">(YEAR(A471)-YEAR('ÖNYP kalkulátor'!$C$10))+(MONTH(CF!A471)-MONTH('ÖNYP kalkulátor'!$C$10)-1)/12</f>
        <v>82.583333333333329</v>
      </c>
      <c r="D471" s="4">
        <f ca="1">(1+VLOOKUP(YEAR(A471),'ÖNYP kalkulátor'!$E$15:$F$75,2,FALSE))^(1/12)-1</f>
        <v>2.4662697723036864E-3</v>
      </c>
      <c r="E471" s="4">
        <f t="shared" ca="1" si="85"/>
        <v>3.1799298424764579</v>
      </c>
      <c r="F471" s="8">
        <f t="shared" ca="1" si="86"/>
        <v>102183653.821518</v>
      </c>
      <c r="G471" s="8">
        <v>10000</v>
      </c>
      <c r="H471" s="8">
        <v>250000</v>
      </c>
      <c r="I471" s="8">
        <v>500000</v>
      </c>
      <c r="J471" s="8">
        <v>750000</v>
      </c>
      <c r="K471" s="8"/>
      <c r="L471" s="4">
        <f ca="1">+IF('ÖNYP kalkulátor'!$C$16="nem",0,
IF(MONTH(A471)=1,VLOOKUP(YEAR(A471),'ÖNYP kalkulátor'!$E$15:$J$75,4),0))</f>
        <v>0.03</v>
      </c>
      <c r="M471" s="8">
        <f t="shared" ca="1" si="95"/>
        <v>97861.133759972363</v>
      </c>
      <c r="N471" s="8">
        <f t="shared" ca="1" si="96"/>
        <v>32620.377919990788</v>
      </c>
      <c r="O471" s="8">
        <f t="shared" ca="1" si="90"/>
        <v>130481.51167996315</v>
      </c>
      <c r="P471" s="8">
        <f t="shared" ca="1" si="91"/>
        <v>122252.62097916535</v>
      </c>
      <c r="Q471" s="8">
        <f t="shared" ca="1" si="92"/>
        <v>122252.62097916535</v>
      </c>
      <c r="R471" s="13">
        <v>150000</v>
      </c>
      <c r="S471" s="13">
        <f ca="1">MIN(IF(AND(MONTH(A471)=5,'ÖNYP kalkulátor'!$IU$6="igen"),(M471+N471)*12/(1+IF('ÖNYP kalkulátor'!$C$16="nem",0,VLOOKUP(YEAR(A471),'ÖNYP kalkulátor'!$E$15:$J$75,4)))*0.2,0),R471)</f>
        <v>0</v>
      </c>
      <c r="T471" s="4">
        <f ca="1">(1+VLOOKUP(YEAR(A471),'ÖNYP kalkulátor'!$E$15:$F$75,2,FALSE)+VLOOKUP(YEAR(A471),'ÖNYP kalkulátor'!$E$15:$I$75,5,FALSE))^(1/12)-1</f>
        <v>4.0741237836483535E-3</v>
      </c>
      <c r="U471" s="8">
        <f t="shared" ca="1" si="87"/>
        <v>416806.92664508102</v>
      </c>
      <c r="V471" s="14">
        <f t="shared" ca="1" si="88"/>
        <v>102722713.36914225</v>
      </c>
      <c r="W471" s="8">
        <f t="shared" ca="1" si="89"/>
        <v>32303452.735656615</v>
      </c>
    </row>
    <row r="472" spans="1:23" x14ac:dyDescent="0.2">
      <c r="A472" s="6">
        <f t="shared" ca="1" si="93"/>
        <v>59933</v>
      </c>
      <c r="B472" s="12">
        <f t="shared" ca="1" si="94"/>
        <v>2</v>
      </c>
      <c r="C472" s="7">
        <f ca="1">(YEAR(A472)-YEAR('ÖNYP kalkulátor'!$C$10))+(MONTH(CF!A472)-MONTH('ÖNYP kalkulátor'!$C$10)-1)/12</f>
        <v>82.666666666666671</v>
      </c>
      <c r="D472" s="4">
        <f ca="1">(1+VLOOKUP(YEAR(A472),'ÖNYP kalkulátor'!$E$15:$F$75,2,FALSE))^(1/12)-1</f>
        <v>2.4662697723036864E-3</v>
      </c>
      <c r="E472" s="4">
        <f t="shared" ca="1" si="85"/>
        <v>3.1877724073250042</v>
      </c>
      <c r="F472" s="8">
        <f t="shared" ca="1" si="86"/>
        <v>102722713.36914225</v>
      </c>
      <c r="G472" s="8">
        <v>10000</v>
      </c>
      <c r="H472" s="8">
        <v>250000</v>
      </c>
      <c r="I472" s="8">
        <v>500000</v>
      </c>
      <c r="J472" s="8">
        <v>750000</v>
      </c>
      <c r="K472" s="8"/>
      <c r="L472" s="4">
        <f ca="1">+IF('ÖNYP kalkulátor'!$C$16="nem",0,
IF(MONTH(A472)=1,VLOOKUP(YEAR(A472),'ÖNYP kalkulátor'!$E$15:$J$75,4),0))</f>
        <v>0</v>
      </c>
      <c r="M472" s="8">
        <f t="shared" ca="1" si="95"/>
        <v>97861.133759972363</v>
      </c>
      <c r="N472" s="8">
        <f t="shared" ca="1" si="96"/>
        <v>32620.377919990788</v>
      </c>
      <c r="O472" s="8">
        <f t="shared" ca="1" si="90"/>
        <v>260963.0233599263</v>
      </c>
      <c r="P472" s="8">
        <f t="shared" ca="1" si="91"/>
        <v>245014.87219192999</v>
      </c>
      <c r="Q472" s="8">
        <f t="shared" ca="1" si="92"/>
        <v>122762.25121276463</v>
      </c>
      <c r="R472" s="13">
        <v>150000</v>
      </c>
      <c r="S472" s="13">
        <f ca="1">MIN(IF(AND(MONTH(A472)=5,'ÖNYP kalkulátor'!$IU$6="igen"),(M472+N472)*12/(1+IF('ÖNYP kalkulátor'!$C$16="nem",0,VLOOKUP(YEAR(A472),'ÖNYP kalkulátor'!$E$15:$J$75,4)))*0.2,0),R472)</f>
        <v>0</v>
      </c>
      <c r="T472" s="4">
        <f ca="1">(1+VLOOKUP(YEAR(A472),'ÖNYP kalkulátor'!$E$15:$F$75,2,FALSE)+VLOOKUP(YEAR(A472),'ÖNYP kalkulátor'!$E$15:$I$75,5,FALSE))^(1/12)-1</f>
        <v>4.0741237836483535E-3</v>
      </c>
      <c r="U472" s="8">
        <f t="shared" ca="1" si="87"/>
        <v>419005.19826551527</v>
      </c>
      <c r="V472" s="14">
        <f t="shared" ca="1" si="88"/>
        <v>103264480.81862053</v>
      </c>
      <c r="W472" s="8">
        <f t="shared" ca="1" si="89"/>
        <v>32393931.442952089</v>
      </c>
    </row>
    <row r="473" spans="1:23" x14ac:dyDescent="0.2">
      <c r="A473" s="6">
        <f t="shared" ca="1" si="93"/>
        <v>59962</v>
      </c>
      <c r="B473" s="12">
        <f t="shared" ca="1" si="94"/>
        <v>3</v>
      </c>
      <c r="C473" s="7">
        <f ca="1">(YEAR(A473)-YEAR('ÖNYP kalkulátor'!$C$10))+(MONTH(CF!A473)-MONTH('ÖNYP kalkulátor'!$C$10)-1)/12</f>
        <v>82.75</v>
      </c>
      <c r="D473" s="4">
        <f ca="1">(1+VLOOKUP(YEAR(A473),'ÖNYP kalkulátor'!$E$15:$F$75,2,FALSE))^(1/12)-1</f>
        <v>2.4662697723036864E-3</v>
      </c>
      <c r="E473" s="4">
        <f t="shared" ca="1" si="85"/>
        <v>3.1956343140541734</v>
      </c>
      <c r="F473" s="8">
        <f t="shared" ca="1" si="86"/>
        <v>103264480.81862053</v>
      </c>
      <c r="G473" s="8">
        <v>10000</v>
      </c>
      <c r="H473" s="8">
        <v>250000</v>
      </c>
      <c r="I473" s="8">
        <v>500000</v>
      </c>
      <c r="J473" s="8">
        <v>750000</v>
      </c>
      <c r="K473" s="8"/>
      <c r="L473" s="4">
        <f ca="1">+IF('ÖNYP kalkulátor'!$C$16="nem",0,
IF(MONTH(A473)=1,VLOOKUP(YEAR(A473),'ÖNYP kalkulátor'!$E$15:$J$75,4),0))</f>
        <v>0</v>
      </c>
      <c r="M473" s="8">
        <f t="shared" ca="1" si="95"/>
        <v>97861.133759972363</v>
      </c>
      <c r="N473" s="8">
        <f t="shared" ca="1" si="96"/>
        <v>32620.377919990788</v>
      </c>
      <c r="O473" s="8">
        <f t="shared" ca="1" si="90"/>
        <v>391444.53503988945</v>
      </c>
      <c r="P473" s="8">
        <f t="shared" ca="1" si="91"/>
        <v>368972.30828789494</v>
      </c>
      <c r="Q473" s="8">
        <f t="shared" ca="1" si="92"/>
        <v>123957.43609596495</v>
      </c>
      <c r="R473" s="13">
        <v>150000</v>
      </c>
      <c r="S473" s="13">
        <f ca="1">MIN(IF(AND(MONTH(A473)=5,'ÖNYP kalkulátor'!$IU$6="igen"),(M473+N473)*12/(1+IF('ÖNYP kalkulátor'!$C$16="nem",0,VLOOKUP(YEAR(A473),'ÖNYP kalkulátor'!$E$15:$J$75,4)))*0.2,0),R473)</f>
        <v>0</v>
      </c>
      <c r="T473" s="4">
        <f ca="1">(1+VLOOKUP(YEAR(A473),'ÖNYP kalkulátor'!$E$15:$F$75,2,FALSE)+VLOOKUP(YEAR(A473),'ÖNYP kalkulátor'!$E$15:$I$75,5,FALSE))^(1/12)-1</f>
        <v>4.0741237836483535E-3</v>
      </c>
      <c r="U473" s="8">
        <f t="shared" ca="1" si="87"/>
        <v>421217.29524779978</v>
      </c>
      <c r="V473" s="14">
        <f t="shared" ca="1" si="88"/>
        <v>103809655.54996429</v>
      </c>
      <c r="W473" s="8">
        <f t="shared" ca="1" si="89"/>
        <v>32484835.668905161</v>
      </c>
    </row>
    <row r="474" spans="1:23" x14ac:dyDescent="0.2">
      <c r="A474" s="6">
        <f t="shared" ca="1" si="93"/>
        <v>59993</v>
      </c>
      <c r="B474" s="12">
        <f t="shared" ca="1" si="94"/>
        <v>4</v>
      </c>
      <c r="C474" s="7">
        <f ca="1">(YEAR(A474)-YEAR('ÖNYP kalkulátor'!$C$10))+(MONTH(CF!A474)-MONTH('ÖNYP kalkulátor'!$C$10)-1)/12</f>
        <v>82.833333333333329</v>
      </c>
      <c r="D474" s="4">
        <f ca="1">(1+VLOOKUP(YEAR(A474),'ÖNYP kalkulátor'!$E$15:$F$75,2,FALSE))^(1/12)-1</f>
        <v>2.4662697723036864E-3</v>
      </c>
      <c r="E474" s="4">
        <f t="shared" ca="1" si="85"/>
        <v>3.2035156103662619</v>
      </c>
      <c r="F474" s="8">
        <f t="shared" ca="1" si="86"/>
        <v>103809655.54996429</v>
      </c>
      <c r="G474" s="8">
        <v>10000</v>
      </c>
      <c r="H474" s="8">
        <v>250000</v>
      </c>
      <c r="I474" s="8">
        <v>500000</v>
      </c>
      <c r="J474" s="8">
        <v>750000</v>
      </c>
      <c r="K474" s="8"/>
      <c r="L474" s="4">
        <f ca="1">+IF('ÖNYP kalkulátor'!$C$16="nem",0,
IF(MONTH(A474)=1,VLOOKUP(YEAR(A474),'ÖNYP kalkulátor'!$E$15:$J$75,4),0))</f>
        <v>0</v>
      </c>
      <c r="M474" s="8">
        <f t="shared" ca="1" si="95"/>
        <v>97861.133759972363</v>
      </c>
      <c r="N474" s="8">
        <f t="shared" ca="1" si="96"/>
        <v>32620.377919990788</v>
      </c>
      <c r="O474" s="8">
        <f t="shared" ca="1" si="90"/>
        <v>521926.0467198526</v>
      </c>
      <c r="P474" s="8">
        <f t="shared" ca="1" si="91"/>
        <v>493587.52578545554</v>
      </c>
      <c r="Q474" s="8">
        <f t="shared" ca="1" si="92"/>
        <v>124615.2174975606</v>
      </c>
      <c r="R474" s="13">
        <v>150000</v>
      </c>
      <c r="S474" s="13">
        <f ca="1">MIN(IF(AND(MONTH(A474)=5,'ÖNYP kalkulátor'!$IU$6="igen"),(M474+N474)*12/(1+IF('ÖNYP kalkulátor'!$C$16="nem",0,VLOOKUP(YEAR(A474),'ÖNYP kalkulátor'!$E$15:$J$75,4)))*0.2,0),R474)</f>
        <v>0</v>
      </c>
      <c r="T474" s="4">
        <f ca="1">(1+VLOOKUP(YEAR(A474),'ÖNYP kalkulátor'!$E$15:$F$75,2,FALSE)+VLOOKUP(YEAR(A474),'ÖNYP kalkulátor'!$E$15:$I$75,5,FALSE))^(1/12)-1</f>
        <v>4.0741237836483535E-3</v>
      </c>
      <c r="U474" s="8">
        <f t="shared" ca="1" si="87"/>
        <v>423441.08446986414</v>
      </c>
      <c r="V474" s="14">
        <f t="shared" ca="1" si="88"/>
        <v>104357711.85193172</v>
      </c>
      <c r="W474" s="8">
        <f t="shared" ca="1" si="89"/>
        <v>32575996.044545691</v>
      </c>
    </row>
    <row r="475" spans="1:23" x14ac:dyDescent="0.2">
      <c r="A475" s="6">
        <f t="shared" ca="1" si="93"/>
        <v>60023</v>
      </c>
      <c r="B475" s="12">
        <f t="shared" ca="1" si="94"/>
        <v>5</v>
      </c>
      <c r="C475" s="7">
        <f ca="1">(YEAR(A475)-YEAR('ÖNYP kalkulátor'!$C$10))+(MONTH(CF!A475)-MONTH('ÖNYP kalkulátor'!$C$10)-1)/12</f>
        <v>82.916666666666671</v>
      </c>
      <c r="D475" s="4">
        <f ca="1">(1+VLOOKUP(YEAR(A475),'ÖNYP kalkulátor'!$E$15:$F$75,2,FALSE))^(1/12)-1</f>
        <v>2.4662697723036864E-3</v>
      </c>
      <c r="E475" s="4">
        <f t="shared" ca="1" si="85"/>
        <v>3.2114163440812113</v>
      </c>
      <c r="F475" s="8">
        <f t="shared" ca="1" si="86"/>
        <v>104357711.85193172</v>
      </c>
      <c r="G475" s="8">
        <v>10000</v>
      </c>
      <c r="H475" s="8">
        <v>250000</v>
      </c>
      <c r="I475" s="8">
        <v>500000</v>
      </c>
      <c r="J475" s="8">
        <v>750000</v>
      </c>
      <c r="K475" s="8"/>
      <c r="L475" s="4">
        <f ca="1">+IF('ÖNYP kalkulátor'!$C$16="nem",0,
IF(MONTH(A475)=1,VLOOKUP(YEAR(A475),'ÖNYP kalkulátor'!$E$15:$J$75,4),0))</f>
        <v>0</v>
      </c>
      <c r="M475" s="8">
        <f t="shared" ca="1" si="95"/>
        <v>97861.133759972363</v>
      </c>
      <c r="N475" s="8">
        <f t="shared" ca="1" si="96"/>
        <v>32620.377919990788</v>
      </c>
      <c r="O475" s="8">
        <f t="shared" ca="1" si="90"/>
        <v>652407.55839981581</v>
      </c>
      <c r="P475" s="8">
        <f t="shared" ca="1" si="91"/>
        <v>621459.40723181947</v>
      </c>
      <c r="Q475" s="8">
        <f t="shared" ca="1" si="92"/>
        <v>127871.88144636393</v>
      </c>
      <c r="R475" s="13">
        <v>150000</v>
      </c>
      <c r="S475" s="13">
        <f ca="1">MIN(IF(AND(MONTH(A475)=5,'ÖNYP kalkulátor'!$IU$6="igen"),(M475+N475)*12/(1+IF('ÖNYP kalkulátor'!$C$16="nem",0,VLOOKUP(YEAR(A475),'ÖNYP kalkulátor'!$E$15:$J$75,4)))*0.2,0),R475)</f>
        <v>150000</v>
      </c>
      <c r="T475" s="4">
        <f ca="1">(1+VLOOKUP(YEAR(A475),'ÖNYP kalkulátor'!$E$15:$F$75,2,FALSE)+VLOOKUP(YEAR(A475),'ÖNYP kalkulátor'!$E$15:$I$75,5,FALSE))^(1/12)-1</f>
        <v>4.0741237836483535E-3</v>
      </c>
      <c r="U475" s="8">
        <f t="shared" ca="1" si="87"/>
        <v>426298.32030408439</v>
      </c>
      <c r="V475" s="14">
        <f t="shared" ca="1" si="88"/>
        <v>105061882.05368216</v>
      </c>
      <c r="W475" s="8">
        <f t="shared" ca="1" si="89"/>
        <v>32715123.421264287</v>
      </c>
    </row>
    <row r="476" spans="1:23" x14ac:dyDescent="0.2">
      <c r="A476" s="6">
        <f t="shared" ca="1" si="93"/>
        <v>60054</v>
      </c>
      <c r="B476" s="12">
        <f t="shared" ca="1" si="94"/>
        <v>6</v>
      </c>
      <c r="C476" s="7">
        <f ca="1">(YEAR(A476)-YEAR('ÖNYP kalkulátor'!$C$10))+(MONTH(CF!A476)-MONTH('ÖNYP kalkulátor'!$C$10)-1)/12</f>
        <v>83</v>
      </c>
      <c r="D476" s="4">
        <f ca="1">(1+VLOOKUP(YEAR(A476),'ÖNYP kalkulátor'!$E$15:$F$75,2,FALSE))^(1/12)-1</f>
        <v>2.4662697723036864E-3</v>
      </c>
      <c r="E476" s="4">
        <f t="shared" ca="1" si="85"/>
        <v>3.2193365631369009</v>
      </c>
      <c r="F476" s="8">
        <f t="shared" ca="1" si="86"/>
        <v>105061882.05368216</v>
      </c>
      <c r="G476" s="8">
        <v>10000</v>
      </c>
      <c r="H476" s="8">
        <v>250000</v>
      </c>
      <c r="I476" s="8">
        <v>500000</v>
      </c>
      <c r="J476" s="8">
        <v>750000</v>
      </c>
      <c r="K476" s="8"/>
      <c r="L476" s="4">
        <f ca="1">+IF('ÖNYP kalkulátor'!$C$16="nem",0,
IF(MONTH(A476)=1,VLOOKUP(YEAR(A476),'ÖNYP kalkulátor'!$E$15:$J$75,4),0))</f>
        <v>0</v>
      </c>
      <c r="M476" s="8">
        <f t="shared" ca="1" si="95"/>
        <v>97861.133759972363</v>
      </c>
      <c r="N476" s="8">
        <f t="shared" ca="1" si="96"/>
        <v>32620.377919990788</v>
      </c>
      <c r="O476" s="8">
        <f t="shared" ca="1" si="90"/>
        <v>782889.07007977902</v>
      </c>
      <c r="P476" s="8">
        <f t="shared" ca="1" si="91"/>
        <v>749824.62472938013</v>
      </c>
      <c r="Q476" s="8">
        <f t="shared" ca="1" si="92"/>
        <v>128365.21749756066</v>
      </c>
      <c r="R476" s="13">
        <v>150000</v>
      </c>
      <c r="S476" s="13">
        <f ca="1">MIN(IF(AND(MONTH(A476)=5,'ÖNYP kalkulátor'!$IU$6="igen"),(M476+N476)*12/(1+IF('ÖNYP kalkulátor'!$C$16="nem",0,VLOOKUP(YEAR(A476),'ÖNYP kalkulátor'!$E$15:$J$75,4)))*0.2,0),R476)</f>
        <v>0</v>
      </c>
      <c r="T476" s="4">
        <f ca="1">(1+VLOOKUP(YEAR(A476),'ÖNYP kalkulátor'!$E$15:$F$75,2,FALSE)+VLOOKUP(YEAR(A476),'ÖNYP kalkulátor'!$E$15:$I$75,5,FALSE))^(1/12)-1</f>
        <v>4.0741237836483535E-3</v>
      </c>
      <c r="U476" s="8">
        <f t="shared" ca="1" si="87"/>
        <v>428558.08821536461</v>
      </c>
      <c r="V476" s="14">
        <f t="shared" ca="1" si="88"/>
        <v>105618805.35939509</v>
      </c>
      <c r="W476" s="8">
        <f t="shared" ca="1" si="89"/>
        <v>32807630.792252675</v>
      </c>
    </row>
    <row r="477" spans="1:23" x14ac:dyDescent="0.2">
      <c r="A477" s="6">
        <f t="shared" ca="1" si="93"/>
        <v>60084</v>
      </c>
      <c r="B477" s="12">
        <f t="shared" ca="1" si="94"/>
        <v>7</v>
      </c>
      <c r="C477" s="7">
        <f ca="1">(YEAR(A477)-YEAR('ÖNYP kalkulátor'!$C$10))+(MONTH(CF!A477)-MONTH('ÖNYP kalkulátor'!$C$10)-1)/12</f>
        <v>83.083333333333329</v>
      </c>
      <c r="D477" s="4">
        <f ca="1">(1+VLOOKUP(YEAR(A477),'ÖNYP kalkulátor'!$E$15:$F$75,2,FALSE))^(1/12)-1</f>
        <v>2.4662697723036864E-3</v>
      </c>
      <c r="E477" s="4">
        <f t="shared" ca="1" si="85"/>
        <v>3.2272763155894375</v>
      </c>
      <c r="F477" s="8">
        <f t="shared" ca="1" si="86"/>
        <v>105618805.35939509</v>
      </c>
      <c r="G477" s="8">
        <v>10000</v>
      </c>
      <c r="H477" s="8">
        <v>250000</v>
      </c>
      <c r="I477" s="8">
        <v>500000</v>
      </c>
      <c r="J477" s="8">
        <v>750000</v>
      </c>
      <c r="K477" s="8"/>
      <c r="L477" s="4">
        <f ca="1">+IF('ÖNYP kalkulátor'!$C$16="nem",0,
IF(MONTH(A477)=1,VLOOKUP(YEAR(A477),'ÖNYP kalkulátor'!$E$15:$J$75,4),0))</f>
        <v>0</v>
      </c>
      <c r="M477" s="8">
        <f t="shared" ca="1" si="95"/>
        <v>97861.133759972363</v>
      </c>
      <c r="N477" s="8">
        <f t="shared" ca="1" si="96"/>
        <v>32620.377919990788</v>
      </c>
      <c r="O477" s="8">
        <f t="shared" ca="1" si="90"/>
        <v>913370.58175974223</v>
      </c>
      <c r="P477" s="8">
        <f t="shared" ca="1" si="91"/>
        <v>879653.7288509435</v>
      </c>
      <c r="Q477" s="8">
        <f t="shared" ca="1" si="92"/>
        <v>129829.10412156337</v>
      </c>
      <c r="R477" s="13">
        <v>150000</v>
      </c>
      <c r="S477" s="13">
        <f ca="1">MIN(IF(AND(MONTH(A477)=5,'ÖNYP kalkulátor'!$IU$6="igen"),(M477+N477)*12/(1+IF('ÖNYP kalkulátor'!$C$16="nem",0,VLOOKUP(YEAR(A477),'ÖNYP kalkulátor'!$E$15:$J$75,4)))*0.2,0),R477)</f>
        <v>0</v>
      </c>
      <c r="T477" s="4">
        <f ca="1">(1+VLOOKUP(YEAR(A477),'ÖNYP kalkulátor'!$E$15:$F$75,2,FALSE)+VLOOKUP(YEAR(A477),'ÖNYP kalkulátor'!$E$15:$I$75,5,FALSE))^(1/12)-1</f>
        <v>4.0741237836483535E-3</v>
      </c>
      <c r="U477" s="8">
        <f t="shared" ca="1" si="87"/>
        <v>430833.02675614913</v>
      </c>
      <c r="V477" s="14">
        <f t="shared" ca="1" si="88"/>
        <v>106179467.49027281</v>
      </c>
      <c r="W477" s="8">
        <f t="shared" ca="1" si="89"/>
        <v>32900643.486078426</v>
      </c>
    </row>
    <row r="478" spans="1:23" x14ac:dyDescent="0.2">
      <c r="A478" s="6">
        <f t="shared" ca="1" si="93"/>
        <v>60115</v>
      </c>
      <c r="B478" s="12">
        <f t="shared" ca="1" si="94"/>
        <v>8</v>
      </c>
      <c r="C478" s="7">
        <f ca="1">(YEAR(A478)-YEAR('ÖNYP kalkulátor'!$C$10))+(MONTH(CF!A478)-MONTH('ÖNYP kalkulátor'!$C$10)-1)/12</f>
        <v>83.166666666666671</v>
      </c>
      <c r="D478" s="4">
        <f ca="1">(1+VLOOKUP(YEAR(A478),'ÖNYP kalkulátor'!$E$15:$F$75,2,FALSE))^(1/12)-1</f>
        <v>2.4662697723036864E-3</v>
      </c>
      <c r="E478" s="4">
        <f t="shared" ca="1" si="85"/>
        <v>3.2352356496134473</v>
      </c>
      <c r="F478" s="8">
        <f t="shared" ca="1" si="86"/>
        <v>106179467.49027281</v>
      </c>
      <c r="G478" s="8">
        <v>10000</v>
      </c>
      <c r="H478" s="8">
        <v>250000</v>
      </c>
      <c r="I478" s="8">
        <v>500000</v>
      </c>
      <c r="J478" s="8">
        <v>750000</v>
      </c>
      <c r="K478" s="8"/>
      <c r="L478" s="4">
        <f ca="1">+IF('ÖNYP kalkulátor'!$C$16="nem",0,
IF(MONTH(A478)=1,VLOOKUP(YEAR(A478),'ÖNYP kalkulátor'!$E$15:$J$75,4),0))</f>
        <v>0</v>
      </c>
      <c r="M478" s="8">
        <f t="shared" ca="1" si="95"/>
        <v>97861.133759972363</v>
      </c>
      <c r="N478" s="8">
        <f t="shared" ca="1" si="96"/>
        <v>32620.377919990788</v>
      </c>
      <c r="O478" s="8">
        <f t="shared" ca="1" si="90"/>
        <v>1043852.0934397054</v>
      </c>
      <c r="P478" s="8">
        <f t="shared" ca="1" si="91"/>
        <v>1009482.832972507</v>
      </c>
      <c r="Q478" s="8">
        <f t="shared" ca="1" si="92"/>
        <v>129829.10412156349</v>
      </c>
      <c r="R478" s="13">
        <v>150000</v>
      </c>
      <c r="S478" s="13">
        <f ca="1">MIN(IF(AND(MONTH(A478)=5,'ÖNYP kalkulátor'!$IU$6="igen"),(M478+N478)*12/(1+IF('ÖNYP kalkulátor'!$C$16="nem",0,VLOOKUP(YEAR(A478),'ÖNYP kalkulátor'!$E$15:$J$75,4)))*0.2,0),R478)</f>
        <v>0</v>
      </c>
      <c r="T478" s="4">
        <f ca="1">(1+VLOOKUP(YEAR(A478),'ÖNYP kalkulátor'!$E$15:$F$75,2,FALSE)+VLOOKUP(YEAR(A478),'ÖNYP kalkulátor'!$E$15:$I$75,5,FALSE))^(1/12)-1</f>
        <v>4.0741237836483535E-3</v>
      </c>
      <c r="U478" s="8">
        <f t="shared" ca="1" si="87"/>
        <v>433117.233678149</v>
      </c>
      <c r="V478" s="14">
        <f t="shared" ca="1" si="88"/>
        <v>106742413.82807252</v>
      </c>
      <c r="W478" s="8">
        <f t="shared" ca="1" si="89"/>
        <v>32993705.988874819</v>
      </c>
    </row>
    <row r="479" spans="1:23" x14ac:dyDescent="0.2">
      <c r="A479" s="6">
        <f t="shared" ca="1" si="93"/>
        <v>60146</v>
      </c>
      <c r="B479" s="12">
        <f t="shared" ca="1" si="94"/>
        <v>9</v>
      </c>
      <c r="C479" s="7">
        <f ca="1">(YEAR(A479)-YEAR('ÖNYP kalkulátor'!$C$10))+(MONTH(CF!A479)-MONTH('ÖNYP kalkulátor'!$C$10)-1)/12</f>
        <v>83.25</v>
      </c>
      <c r="D479" s="4">
        <f ca="1">(1+VLOOKUP(YEAR(A479),'ÖNYP kalkulátor'!$E$15:$F$75,2,FALSE))^(1/12)-1</f>
        <v>2.4662697723036864E-3</v>
      </c>
      <c r="E479" s="4">
        <f t="shared" ca="1" si="85"/>
        <v>3.2432146135023681</v>
      </c>
      <c r="F479" s="8">
        <f t="shared" ca="1" si="86"/>
        <v>106742413.82807252</v>
      </c>
      <c r="G479" s="8">
        <v>10000</v>
      </c>
      <c r="H479" s="8">
        <v>250000</v>
      </c>
      <c r="I479" s="8">
        <v>500000</v>
      </c>
      <c r="J479" s="8">
        <v>750000</v>
      </c>
      <c r="K479" s="8"/>
      <c r="L479" s="4">
        <f ca="1">+IF('ÖNYP kalkulátor'!$C$16="nem",0,
IF(MONTH(A479)=1,VLOOKUP(YEAR(A479),'ÖNYP kalkulátor'!$E$15:$J$75,4),0))</f>
        <v>0</v>
      </c>
      <c r="M479" s="8">
        <f t="shared" ca="1" si="95"/>
        <v>97861.133759972363</v>
      </c>
      <c r="N479" s="8">
        <f t="shared" ca="1" si="96"/>
        <v>32620.377919990788</v>
      </c>
      <c r="O479" s="8">
        <f t="shared" ca="1" si="90"/>
        <v>1174333.6051196686</v>
      </c>
      <c r="P479" s="8">
        <f t="shared" ca="1" si="91"/>
        <v>1139311.9370940703</v>
      </c>
      <c r="Q479" s="8">
        <f t="shared" ca="1" si="92"/>
        <v>129829.10412156326</v>
      </c>
      <c r="R479" s="13">
        <v>150000</v>
      </c>
      <c r="S479" s="13">
        <f ca="1">MIN(IF(AND(MONTH(A479)=5,'ÖNYP kalkulátor'!$IU$6="igen"),(M479+N479)*12/(1+IF('ÖNYP kalkulátor'!$C$16="nem",0,VLOOKUP(YEAR(A479),'ÖNYP kalkulátor'!$E$15:$J$75,4)))*0.2,0),R479)</f>
        <v>0</v>
      </c>
      <c r="T479" s="4">
        <f ca="1">(1+VLOOKUP(YEAR(A479),'ÖNYP kalkulátor'!$E$15:$F$75,2,FALSE)+VLOOKUP(YEAR(A479),'ÖNYP kalkulátor'!$E$15:$I$75,5,FALSE))^(1/12)-1</f>
        <v>4.0741237836483535E-3</v>
      </c>
      <c r="U479" s="8">
        <f t="shared" ca="1" si="87"/>
        <v>435410.74674189655</v>
      </c>
      <c r="V479" s="14">
        <f t="shared" ca="1" si="88"/>
        <v>107307653.67893597</v>
      </c>
      <c r="W479" s="8">
        <f t="shared" ca="1" si="89"/>
        <v>33086818.625010375</v>
      </c>
    </row>
    <row r="480" spans="1:23" x14ac:dyDescent="0.2">
      <c r="A480" s="6">
        <f t="shared" ref="A480:A531" ca="1" si="97">+DATE(YEAR(A479),MONTH(A479)+1,1)</f>
        <v>60176</v>
      </c>
      <c r="B480" s="12">
        <f t="shared" ref="B480:B531" ca="1" si="98">+IF(YEAR(A480)=YEAR(A479),B479+1,1)</f>
        <v>10</v>
      </c>
      <c r="C480" s="7">
        <f ca="1">(YEAR(A480)-YEAR('ÖNYP kalkulátor'!$C$10))+(MONTH(CF!A480)-MONTH('ÖNYP kalkulátor'!$C$10)-1)/12</f>
        <v>83.333333333333329</v>
      </c>
      <c r="D480" s="4">
        <f ca="1">(1+VLOOKUP(YEAR(A480),'ÖNYP kalkulátor'!$E$15:$F$75,2,FALSE))^(1/12)-1</f>
        <v>2.4662697723036864E-3</v>
      </c>
      <c r="E480" s="4">
        <f t="shared" ref="E480:E531" ca="1" si="99">E479*(1+D479)</f>
        <v>3.2512132556687425</v>
      </c>
      <c r="F480" s="8">
        <f t="shared" ref="F480:F531" ca="1" si="100">+V479</f>
        <v>107307653.67893597</v>
      </c>
      <c r="G480" s="8">
        <v>10000</v>
      </c>
      <c r="H480" s="8">
        <v>250000</v>
      </c>
      <c r="I480" s="8">
        <v>500000</v>
      </c>
      <c r="J480" s="8">
        <v>750000</v>
      </c>
      <c r="K480" s="8"/>
      <c r="L480" s="4">
        <f ca="1">+IF('ÖNYP kalkulátor'!$C$16="nem",0,
IF(MONTH(A480)=1,VLOOKUP(YEAR(A480),'ÖNYP kalkulátor'!$E$15:$J$75,4),0))</f>
        <v>0</v>
      </c>
      <c r="M480" s="8">
        <f t="shared" ca="1" si="95"/>
        <v>97861.133759972363</v>
      </c>
      <c r="N480" s="8">
        <f t="shared" ca="1" si="96"/>
        <v>32620.377919990788</v>
      </c>
      <c r="O480" s="8">
        <f t="shared" ca="1" si="90"/>
        <v>1304815.1167996319</v>
      </c>
      <c r="P480" s="8">
        <f t="shared" ca="1" si="91"/>
        <v>1269141.0412156337</v>
      </c>
      <c r="Q480" s="8">
        <f t="shared" ca="1" si="92"/>
        <v>129829.10412156349</v>
      </c>
      <c r="R480" s="13">
        <v>150000</v>
      </c>
      <c r="S480" s="13">
        <f ca="1">MIN(IF(AND(MONTH(A480)=5,'ÖNYP kalkulátor'!$IU$6="igen"),(M480+N480)*12/(1+IF('ÖNYP kalkulátor'!$C$16="nem",0,VLOOKUP(YEAR(A480),'ÖNYP kalkulátor'!$E$15:$J$75,4)))*0.2,0),R480)</f>
        <v>0</v>
      </c>
      <c r="T480" s="4">
        <f ca="1">(1+VLOOKUP(YEAR(A480),'ÖNYP kalkulátor'!$E$15:$F$75,2,FALSE)+VLOOKUP(YEAR(A480),'ÖNYP kalkulátor'!$E$15:$I$75,5,FALSE))^(1/12)-1</f>
        <v>4.0741237836483535E-3</v>
      </c>
      <c r="U480" s="8">
        <f t="shared" ca="1" si="87"/>
        <v>437713.60386176524</v>
      </c>
      <c r="V480" s="14">
        <f t="shared" ca="1" si="88"/>
        <v>107875196.3869193</v>
      </c>
      <c r="W480" s="8">
        <f t="shared" ca="1" si="89"/>
        <v>33179981.718772378</v>
      </c>
    </row>
    <row r="481" spans="1:23" x14ac:dyDescent="0.2">
      <c r="A481" s="6">
        <f t="shared" ca="1" si="97"/>
        <v>60207</v>
      </c>
      <c r="B481" s="12">
        <f t="shared" ca="1" si="98"/>
        <v>11</v>
      </c>
      <c r="C481" s="7">
        <f ca="1">(YEAR(A481)-YEAR('ÖNYP kalkulátor'!$C$10))+(MONTH(CF!A481)-MONTH('ÖNYP kalkulátor'!$C$10)-1)/12</f>
        <v>83.416666666666671</v>
      </c>
      <c r="D481" s="4">
        <f ca="1">(1+VLOOKUP(YEAR(A481),'ÖNYP kalkulátor'!$E$15:$F$75,2,FALSE))^(1/12)-1</f>
        <v>2.4662697723036864E-3</v>
      </c>
      <c r="E481" s="4">
        <f t="shared" ca="1" si="99"/>
        <v>3.2592316246445114</v>
      </c>
      <c r="F481" s="8">
        <f t="shared" ca="1" si="100"/>
        <v>107875196.3869193</v>
      </c>
      <c r="G481" s="8">
        <v>10000</v>
      </c>
      <c r="H481" s="8">
        <v>250000</v>
      </c>
      <c r="I481" s="8">
        <v>500000</v>
      </c>
      <c r="J481" s="8">
        <v>750000</v>
      </c>
      <c r="K481" s="8"/>
      <c r="L481" s="4">
        <f ca="1">+IF('ÖNYP kalkulátor'!$C$16="nem",0,
IF(MONTH(A481)=1,VLOOKUP(YEAR(A481),'ÖNYP kalkulátor'!$E$15:$J$75,4),0))</f>
        <v>0</v>
      </c>
      <c r="M481" s="8">
        <f t="shared" ca="1" si="95"/>
        <v>97861.133759972363</v>
      </c>
      <c r="N481" s="8">
        <f t="shared" ca="1" si="96"/>
        <v>32620.377919990788</v>
      </c>
      <c r="O481" s="8">
        <f t="shared" ca="1" si="90"/>
        <v>1435296.6284795951</v>
      </c>
      <c r="P481" s="8">
        <f t="shared" ca="1" si="91"/>
        <v>1398970.145337197</v>
      </c>
      <c r="Q481" s="8">
        <f t="shared" ca="1" si="92"/>
        <v>129829.10412156326</v>
      </c>
      <c r="R481" s="13">
        <v>150000</v>
      </c>
      <c r="S481" s="13">
        <f ca="1">MIN(IF(AND(MONTH(A481)=5,'ÖNYP kalkulátor'!$IU$6="igen"),(M481+N481)*12/(1+IF('ÖNYP kalkulátor'!$C$16="nem",0,VLOOKUP(YEAR(A481),'ÖNYP kalkulátor'!$E$15:$J$75,4)))*0.2,0),R481)</f>
        <v>0</v>
      </c>
      <c r="T481" s="4">
        <f ca="1">(1+VLOOKUP(YEAR(A481),'ÖNYP kalkulátor'!$E$15:$F$75,2,FALSE)+VLOOKUP(YEAR(A481),'ÖNYP kalkulátor'!$E$15:$I$75,5,FALSE))^(1/12)-1</f>
        <v>4.0741237836483535E-3</v>
      </c>
      <c r="U481" s="8">
        <f t="shared" ca="1" si="87"/>
        <v>440025.84310659632</v>
      </c>
      <c r="V481" s="14">
        <f t="shared" ca="1" si="88"/>
        <v>108445051.33414747</v>
      </c>
      <c r="W481" s="8">
        <f t="shared" ca="1" si="89"/>
        <v>33273195.59436826</v>
      </c>
    </row>
    <row r="482" spans="1:23" x14ac:dyDescent="0.2">
      <c r="A482" s="6">
        <f t="shared" ca="1" si="97"/>
        <v>60237</v>
      </c>
      <c r="B482" s="12">
        <f t="shared" ca="1" si="98"/>
        <v>12</v>
      </c>
      <c r="C482" s="7">
        <f ca="1">(YEAR(A482)-YEAR('ÖNYP kalkulátor'!$C$10))+(MONTH(CF!A482)-MONTH('ÖNYP kalkulátor'!$C$10)-1)/12</f>
        <v>83.5</v>
      </c>
      <c r="D482" s="4">
        <f ca="1">(1+VLOOKUP(YEAR(A482),'ÖNYP kalkulátor'!$E$15:$F$75,2,FALSE))^(1/12)-1</f>
        <v>2.4662697723036864E-3</v>
      </c>
      <c r="E482" s="4">
        <f t="shared" ca="1" si="99"/>
        <v>3.2672697690813086</v>
      </c>
      <c r="F482" s="8">
        <f t="shared" ca="1" si="100"/>
        <v>108445051.33414747</v>
      </c>
      <c r="G482" s="8">
        <v>10000</v>
      </c>
      <c r="H482" s="8">
        <v>250000</v>
      </c>
      <c r="I482" s="8">
        <v>500000</v>
      </c>
      <c r="J482" s="8">
        <v>750000</v>
      </c>
      <c r="K482" s="8"/>
      <c r="L482" s="4">
        <f ca="1">+IF('ÖNYP kalkulátor'!$C$16="nem",0,
IF(MONTH(A482)=1,VLOOKUP(YEAR(A482),'ÖNYP kalkulátor'!$E$15:$J$75,4),0))</f>
        <v>0</v>
      </c>
      <c r="M482" s="8">
        <f t="shared" ca="1" si="95"/>
        <v>97861.133759972363</v>
      </c>
      <c r="N482" s="8">
        <f t="shared" ca="1" si="96"/>
        <v>32620.377919990788</v>
      </c>
      <c r="O482" s="8">
        <f t="shared" ca="1" si="90"/>
        <v>1565778.1401595583</v>
      </c>
      <c r="P482" s="8">
        <f t="shared" ca="1" si="91"/>
        <v>1528799.2494587605</v>
      </c>
      <c r="Q482" s="8">
        <f t="shared" ca="1" si="92"/>
        <v>129829.10412156349</v>
      </c>
      <c r="R482" s="13">
        <v>150000</v>
      </c>
      <c r="S482" s="13">
        <f ca="1">MIN(IF(AND(MONTH(A482)=5,'ÖNYP kalkulátor'!$IU$6="igen"),(M482+N482)*12/(1+IF('ÖNYP kalkulátor'!$C$16="nem",0,VLOOKUP(YEAR(A482),'ÖNYP kalkulátor'!$E$15:$J$75,4)))*0.2,0),R482)</f>
        <v>0</v>
      </c>
      <c r="T482" s="4">
        <f ca="1">(1+VLOOKUP(YEAR(A482),'ÖNYP kalkulátor'!$E$15:$F$75,2,FALSE)+VLOOKUP(YEAR(A482),'ÖNYP kalkulátor'!$E$15:$I$75,5,FALSE))^(1/12)-1</f>
        <v>4.0741237836483535E-3</v>
      </c>
      <c r="U482" s="8">
        <f t="shared" ca="1" si="87"/>
        <v>442347.50270032824</v>
      </c>
      <c r="V482" s="14">
        <f t="shared" ca="1" si="88"/>
        <v>109017227.94096936</v>
      </c>
      <c r="W482" s="8">
        <f t="shared" ca="1" si="89"/>
        <v>33366460.57592693</v>
      </c>
    </row>
    <row r="483" spans="1:23" x14ac:dyDescent="0.2">
      <c r="A483" s="6">
        <f t="shared" ca="1" si="97"/>
        <v>60268</v>
      </c>
      <c r="B483" s="12">
        <f t="shared" ca="1" si="98"/>
        <v>1</v>
      </c>
      <c r="C483" s="7">
        <f ca="1">(YEAR(A483)-YEAR('ÖNYP kalkulátor'!$C$10))+(MONTH(CF!A483)-MONTH('ÖNYP kalkulátor'!$C$10)-1)/12</f>
        <v>83.583333333333329</v>
      </c>
      <c r="D483" s="4">
        <f ca="1">(1+VLOOKUP(YEAR(A483),'ÖNYP kalkulátor'!$E$15:$F$75,2,FALSE))^(1/12)-1</f>
        <v>2.4662697723036864E-3</v>
      </c>
      <c r="E483" s="4">
        <f t="shared" ca="1" si="99"/>
        <v>3.2753277377507555</v>
      </c>
      <c r="F483" s="8">
        <f t="shared" ca="1" si="100"/>
        <v>109017227.94096936</v>
      </c>
      <c r="G483" s="8">
        <v>10000</v>
      </c>
      <c r="H483" s="8">
        <v>250000</v>
      </c>
      <c r="I483" s="8">
        <v>500000</v>
      </c>
      <c r="J483" s="8">
        <v>750000</v>
      </c>
      <c r="K483" s="8"/>
      <c r="L483" s="4">
        <f ca="1">+IF('ÖNYP kalkulátor'!$C$16="nem",0,
IF(MONTH(A483)=1,VLOOKUP(YEAR(A483),'ÖNYP kalkulátor'!$E$15:$J$75,4),0))</f>
        <v>0.03</v>
      </c>
      <c r="M483" s="8">
        <f t="shared" ca="1" si="95"/>
        <v>100796.96777277153</v>
      </c>
      <c r="N483" s="8">
        <f t="shared" ca="1" si="96"/>
        <v>33598.989257590511</v>
      </c>
      <c r="O483" s="8">
        <f t="shared" ca="1" si="90"/>
        <v>134395.95703036204</v>
      </c>
      <c r="P483" s="8">
        <f t="shared" ca="1" si="91"/>
        <v>125932.19960854031</v>
      </c>
      <c r="Q483" s="8">
        <f t="shared" ca="1" si="92"/>
        <v>125932.19960854031</v>
      </c>
      <c r="R483" s="13">
        <v>150000</v>
      </c>
      <c r="S483" s="13">
        <f ca="1">MIN(IF(AND(MONTH(A483)=5,'ÖNYP kalkulátor'!$IU$6="igen"),(M483+N483)*12/(1+IF('ÖNYP kalkulátor'!$C$16="nem",0,VLOOKUP(YEAR(A483),'ÖNYP kalkulátor'!$E$15:$J$75,4)))*0.2,0),R483)</f>
        <v>0</v>
      </c>
      <c r="T483" s="4">
        <f ca="1">(1+VLOOKUP(YEAR(A483),'ÖNYP kalkulátor'!$E$15:$F$75,2,FALSE)+VLOOKUP(YEAR(A483),'ÖNYP kalkulátor'!$E$15:$I$75,5,FALSE))^(1/12)-1</f>
        <v>4.0741237836483535E-3</v>
      </c>
      <c r="U483" s="8">
        <f t="shared" ca="1" si="87"/>
        <v>444662.7445512694</v>
      </c>
      <c r="V483" s="14">
        <f t="shared" ca="1" si="88"/>
        <v>109587822.88512917</v>
      </c>
      <c r="W483" s="8">
        <f t="shared" ca="1" si="89"/>
        <v>33458582.364763808</v>
      </c>
    </row>
    <row r="484" spans="1:23" x14ac:dyDescent="0.2">
      <c r="A484" s="6">
        <f t="shared" ca="1" si="97"/>
        <v>60299</v>
      </c>
      <c r="B484" s="12">
        <f t="shared" ca="1" si="98"/>
        <v>2</v>
      </c>
      <c r="C484" s="7">
        <f ca="1">(YEAR(A484)-YEAR('ÖNYP kalkulátor'!$C$10))+(MONTH(CF!A484)-MONTH('ÖNYP kalkulátor'!$C$10)-1)/12</f>
        <v>83.666666666666671</v>
      </c>
      <c r="D484" s="4">
        <f ca="1">(1+VLOOKUP(YEAR(A484),'ÖNYP kalkulátor'!$E$15:$F$75,2,FALSE))^(1/12)-1</f>
        <v>2.4662697723036864E-3</v>
      </c>
      <c r="E484" s="4">
        <f t="shared" ca="1" si="99"/>
        <v>3.2834055795447581</v>
      </c>
      <c r="F484" s="8">
        <f t="shared" ca="1" si="100"/>
        <v>109587822.88512917</v>
      </c>
      <c r="G484" s="8">
        <v>10000</v>
      </c>
      <c r="H484" s="8">
        <v>250000</v>
      </c>
      <c r="I484" s="8">
        <v>500000</v>
      </c>
      <c r="J484" s="8">
        <v>750000</v>
      </c>
      <c r="K484" s="8"/>
      <c r="L484" s="4">
        <f ca="1">+IF('ÖNYP kalkulátor'!$C$16="nem",0,
IF(MONTH(A484)=1,VLOOKUP(YEAR(A484),'ÖNYP kalkulátor'!$E$15:$J$75,4),0))</f>
        <v>0</v>
      </c>
      <c r="M484" s="8">
        <f t="shared" ca="1" si="95"/>
        <v>100796.96777277153</v>
      </c>
      <c r="N484" s="8">
        <f t="shared" ca="1" si="96"/>
        <v>33598.989257590511</v>
      </c>
      <c r="O484" s="8">
        <f t="shared" ca="1" si="90"/>
        <v>268791.91406072408</v>
      </c>
      <c r="P484" s="8">
        <f t="shared" ca="1" si="91"/>
        <v>252452.31835768788</v>
      </c>
      <c r="Q484" s="8">
        <f t="shared" ca="1" si="92"/>
        <v>126520.11874914757</v>
      </c>
      <c r="R484" s="13">
        <v>150000</v>
      </c>
      <c r="S484" s="13">
        <f ca="1">MIN(IF(AND(MONTH(A484)=5,'ÖNYP kalkulátor'!$IU$6="igen"),(M484+N484)*12/(1+IF('ÖNYP kalkulátor'!$C$16="nem",0,VLOOKUP(YEAR(A484),'ÖNYP kalkulátor'!$E$15:$J$75,4)))*0.2,0),R484)</f>
        <v>0</v>
      </c>
      <c r="T484" s="4">
        <f ca="1">(1+VLOOKUP(YEAR(A484),'ÖNYP kalkulátor'!$E$15:$F$75,2,FALSE)+VLOOKUP(YEAR(A484),'ÖNYP kalkulátor'!$E$15:$I$75,5,FALSE))^(1/12)-1</f>
        <v>4.0741237836483535E-3</v>
      </c>
      <c r="U484" s="8">
        <f t="shared" ca="1" si="87"/>
        <v>446989.81423945399</v>
      </c>
      <c r="V484" s="14">
        <f t="shared" ca="1" si="88"/>
        <v>110161332.81811777</v>
      </c>
      <c r="W484" s="8">
        <f t="shared" ca="1" si="89"/>
        <v>33550936.717781775</v>
      </c>
    </row>
    <row r="485" spans="1:23" x14ac:dyDescent="0.2">
      <c r="A485" s="6">
        <f t="shared" ca="1" si="97"/>
        <v>60327</v>
      </c>
      <c r="B485" s="12">
        <f t="shared" ca="1" si="98"/>
        <v>3</v>
      </c>
      <c r="C485" s="7">
        <f ca="1">(YEAR(A485)-YEAR('ÖNYP kalkulátor'!$C$10))+(MONTH(CF!A485)-MONTH('ÖNYP kalkulátor'!$C$10)-1)/12</f>
        <v>83.75</v>
      </c>
      <c r="D485" s="4">
        <f ca="1">(1+VLOOKUP(YEAR(A485),'ÖNYP kalkulátor'!$E$15:$F$75,2,FALSE))^(1/12)-1</f>
        <v>2.4662697723036864E-3</v>
      </c>
      <c r="E485" s="4">
        <f t="shared" ca="1" si="99"/>
        <v>3.2915033434758025</v>
      </c>
      <c r="F485" s="8">
        <f t="shared" ca="1" si="100"/>
        <v>110161332.81811777</v>
      </c>
      <c r="G485" s="8">
        <v>10000</v>
      </c>
      <c r="H485" s="8">
        <v>250000</v>
      </c>
      <c r="I485" s="8">
        <v>500000</v>
      </c>
      <c r="J485" s="8">
        <v>750000</v>
      </c>
      <c r="K485" s="8"/>
      <c r="L485" s="4">
        <f ca="1">+IF('ÖNYP kalkulátor'!$C$16="nem",0,
IF(MONTH(A485)=1,VLOOKUP(YEAR(A485),'ÖNYP kalkulátor'!$E$15:$J$75,4),0))</f>
        <v>0</v>
      </c>
      <c r="M485" s="8">
        <f t="shared" ca="1" si="95"/>
        <v>100796.96777277153</v>
      </c>
      <c r="N485" s="8">
        <f t="shared" ca="1" si="96"/>
        <v>33598.989257590511</v>
      </c>
      <c r="O485" s="8">
        <f t="shared" ca="1" si="90"/>
        <v>403187.87109108613</v>
      </c>
      <c r="P485" s="8">
        <f t="shared" ca="1" si="91"/>
        <v>380128.47753653181</v>
      </c>
      <c r="Q485" s="8">
        <f t="shared" ca="1" si="92"/>
        <v>127676.15917884393</v>
      </c>
      <c r="R485" s="13">
        <v>150000</v>
      </c>
      <c r="S485" s="13">
        <f ca="1">MIN(IF(AND(MONTH(A485)=5,'ÖNYP kalkulátor'!$IU$6="igen"),(M485+N485)*12/(1+IF('ÖNYP kalkulátor'!$C$16="nem",0,VLOOKUP(YEAR(A485),'ÖNYP kalkulátor'!$E$15:$J$75,4)))*0.2,0),R485)</f>
        <v>0</v>
      </c>
      <c r="T485" s="4">
        <f ca="1">(1+VLOOKUP(YEAR(A485),'ÖNYP kalkulátor'!$E$15:$F$75,2,FALSE)+VLOOKUP(YEAR(A485),'ÖNYP kalkulátor'!$E$15:$I$75,5,FALSE))^(1/12)-1</f>
        <v>4.0741237836483535E-3</v>
      </c>
      <c r="U485" s="8">
        <f t="shared" ca="1" si="87"/>
        <v>449331.0745494109</v>
      </c>
      <c r="V485" s="14">
        <f t="shared" ca="1" si="88"/>
        <v>110738340.05184601</v>
      </c>
      <c r="W485" s="8">
        <f t="shared" ca="1" si="89"/>
        <v>33643696.662603773</v>
      </c>
    </row>
    <row r="486" spans="1:23" x14ac:dyDescent="0.2">
      <c r="A486" s="6">
        <f t="shared" ca="1" si="97"/>
        <v>60358</v>
      </c>
      <c r="B486" s="12">
        <f t="shared" ca="1" si="98"/>
        <v>4</v>
      </c>
      <c r="C486" s="7">
        <f ca="1">(YEAR(A486)-YEAR('ÖNYP kalkulátor'!$C$10))+(MONTH(CF!A486)-MONTH('ÖNYP kalkulátor'!$C$10)-1)/12</f>
        <v>83.833333333333329</v>
      </c>
      <c r="D486" s="4">
        <f ca="1">(1+VLOOKUP(YEAR(A486),'ÖNYP kalkulátor'!$E$15:$F$75,2,FALSE))^(1/12)-1</f>
        <v>2.4662697723036864E-3</v>
      </c>
      <c r="E486" s="4">
        <f t="shared" ca="1" si="99"/>
        <v>3.2996210786772533</v>
      </c>
      <c r="F486" s="8">
        <f t="shared" ca="1" si="100"/>
        <v>110738340.05184601</v>
      </c>
      <c r="G486" s="8">
        <v>10000</v>
      </c>
      <c r="H486" s="8">
        <v>250000</v>
      </c>
      <c r="I486" s="8">
        <v>500000</v>
      </c>
      <c r="J486" s="8">
        <v>750000</v>
      </c>
      <c r="K486" s="8"/>
      <c r="L486" s="4">
        <f ca="1">+IF('ÖNYP kalkulátor'!$C$16="nem",0,
IF(MONTH(A486)=1,VLOOKUP(YEAR(A486),'ÖNYP kalkulátor'!$E$15:$J$75,4),0))</f>
        <v>0</v>
      </c>
      <c r="M486" s="8">
        <f t="shared" ca="1" si="95"/>
        <v>100796.96777277153</v>
      </c>
      <c r="N486" s="8">
        <f t="shared" ca="1" si="96"/>
        <v>33598.989257590511</v>
      </c>
      <c r="O486" s="8">
        <f t="shared" ca="1" si="90"/>
        <v>537583.82812144817</v>
      </c>
      <c r="P486" s="8">
        <f t="shared" ca="1" si="91"/>
        <v>508932.15155901923</v>
      </c>
      <c r="Q486" s="8">
        <f t="shared" ca="1" si="92"/>
        <v>128803.67402248742</v>
      </c>
      <c r="R486" s="13">
        <v>150000</v>
      </c>
      <c r="S486" s="13">
        <f ca="1">MIN(IF(AND(MONTH(A486)=5,'ÖNYP kalkulátor'!$IU$6="igen"),(M486+N486)*12/(1+IF('ÖNYP kalkulátor'!$C$16="nem",0,VLOOKUP(YEAR(A486),'ÖNYP kalkulátor'!$E$15:$J$75,4)))*0.2,0),R486)</f>
        <v>0</v>
      </c>
      <c r="T486" s="4">
        <f ca="1">(1+VLOOKUP(YEAR(A486),'ÖNYP kalkulátor'!$E$15:$F$75,2,FALSE)+VLOOKUP(YEAR(A486),'ÖNYP kalkulátor'!$E$15:$I$75,5,FALSE))^(1/12)-1</f>
        <v>4.0741237836483535E-3</v>
      </c>
      <c r="U486" s="8">
        <f t="shared" ca="1" si="87"/>
        <v>451686.46707872115</v>
      </c>
      <c r="V486" s="14">
        <f t="shared" ca="1" si="88"/>
        <v>111318830.19294721</v>
      </c>
      <c r="W486" s="8">
        <f t="shared" ca="1" si="89"/>
        <v>33736852.66841989</v>
      </c>
    </row>
    <row r="487" spans="1:23" x14ac:dyDescent="0.2">
      <c r="A487" s="6">
        <f t="shared" ca="1" si="97"/>
        <v>60388</v>
      </c>
      <c r="B487" s="12">
        <f t="shared" ca="1" si="98"/>
        <v>5</v>
      </c>
      <c r="C487" s="7">
        <f ca="1">(YEAR(A487)-YEAR('ÖNYP kalkulátor'!$C$10))+(MONTH(CF!A487)-MONTH('ÖNYP kalkulátor'!$C$10)-1)/12</f>
        <v>83.916666666666671</v>
      </c>
      <c r="D487" s="4">
        <f ca="1">(1+VLOOKUP(YEAR(A487),'ÖNYP kalkulátor'!$E$15:$F$75,2,FALSE))^(1/12)-1</f>
        <v>2.4662697723036864E-3</v>
      </c>
      <c r="E487" s="4">
        <f t="shared" ca="1" si="99"/>
        <v>3.3077588344036513</v>
      </c>
      <c r="F487" s="8">
        <f t="shared" ca="1" si="100"/>
        <v>111318830.19294721</v>
      </c>
      <c r="G487" s="8">
        <v>10000</v>
      </c>
      <c r="H487" s="8">
        <v>250000</v>
      </c>
      <c r="I487" s="8">
        <v>500000</v>
      </c>
      <c r="J487" s="8">
        <v>750000</v>
      </c>
      <c r="K487" s="8"/>
      <c r="L487" s="4">
        <f ca="1">+IF('ÖNYP kalkulátor'!$C$16="nem",0,
IF(MONTH(A487)=1,VLOOKUP(YEAR(A487),'ÖNYP kalkulátor'!$E$15:$J$75,4),0))</f>
        <v>0</v>
      </c>
      <c r="M487" s="8">
        <f t="shared" ca="1" si="95"/>
        <v>100796.96777277153</v>
      </c>
      <c r="N487" s="8">
        <f t="shared" ca="1" si="96"/>
        <v>33598.989257590511</v>
      </c>
      <c r="O487" s="8">
        <f t="shared" ca="1" si="90"/>
        <v>671979.78515181015</v>
      </c>
      <c r="P487" s="8">
        <f t="shared" ca="1" si="91"/>
        <v>640640.18944877398</v>
      </c>
      <c r="Q487" s="8">
        <f t="shared" ca="1" si="92"/>
        <v>131708.03788975475</v>
      </c>
      <c r="R487" s="13">
        <v>150000</v>
      </c>
      <c r="S487" s="13">
        <f ca="1">MIN(IF(AND(MONTH(A487)=5,'ÖNYP kalkulátor'!$IU$6="igen"),(M487+N487)*12/(1+IF('ÖNYP kalkulátor'!$C$16="nem",0,VLOOKUP(YEAR(A487),'ÖNYP kalkulátor'!$E$15:$J$75,4)))*0.2,0),R487)</f>
        <v>150000</v>
      </c>
      <c r="T487" s="4">
        <f ca="1">(1+VLOOKUP(YEAR(A487),'ÖNYP kalkulátor'!$E$15:$F$75,2,FALSE)+VLOOKUP(YEAR(A487),'ÖNYP kalkulátor'!$E$15:$I$75,5,FALSE))^(1/12)-1</f>
        <v>4.0741237836483535E-3</v>
      </c>
      <c r="U487" s="8">
        <f t="shared" ca="1" si="87"/>
        <v>454674.40707421018</v>
      </c>
      <c r="V487" s="14">
        <f t="shared" ca="1" si="88"/>
        <v>112055212.63791117</v>
      </c>
      <c r="W487" s="8">
        <f t="shared" ca="1" si="89"/>
        <v>33876475.960833877</v>
      </c>
    </row>
    <row r="488" spans="1:23" x14ac:dyDescent="0.2">
      <c r="A488" s="6">
        <f t="shared" ca="1" si="97"/>
        <v>60419</v>
      </c>
      <c r="B488" s="12">
        <f t="shared" ca="1" si="98"/>
        <v>6</v>
      </c>
      <c r="C488" s="7">
        <f ca="1">(YEAR(A488)-YEAR('ÖNYP kalkulátor'!$C$10))+(MONTH(CF!A488)-MONTH('ÖNYP kalkulátor'!$C$10)-1)/12</f>
        <v>84</v>
      </c>
      <c r="D488" s="4">
        <f ca="1">(1+VLOOKUP(YEAR(A488),'ÖNYP kalkulátor'!$E$15:$F$75,2,FALSE))^(1/12)-1</f>
        <v>2.4662697723036864E-3</v>
      </c>
      <c r="E488" s="4">
        <f t="shared" ca="1" si="99"/>
        <v>3.3159166600310113</v>
      </c>
      <c r="F488" s="8">
        <f t="shared" ca="1" si="100"/>
        <v>112055212.63791117</v>
      </c>
      <c r="G488" s="8">
        <v>10000</v>
      </c>
      <c r="H488" s="8">
        <v>250000</v>
      </c>
      <c r="I488" s="8">
        <v>500000</v>
      </c>
      <c r="J488" s="8">
        <v>750000</v>
      </c>
      <c r="K488" s="8"/>
      <c r="L488" s="4">
        <f ca="1">+IF('ÖNYP kalkulátor'!$C$16="nem",0,
IF(MONTH(A488)=1,VLOOKUP(YEAR(A488),'ÖNYP kalkulátor'!$E$15:$J$75,4),0))</f>
        <v>0</v>
      </c>
      <c r="M488" s="8">
        <f t="shared" ca="1" si="95"/>
        <v>100796.96777277153</v>
      </c>
      <c r="N488" s="8">
        <f t="shared" ca="1" si="96"/>
        <v>33598.989257590511</v>
      </c>
      <c r="O488" s="8">
        <f t="shared" ca="1" si="90"/>
        <v>806375.74218217214</v>
      </c>
      <c r="P488" s="8">
        <f t="shared" ca="1" si="91"/>
        <v>773193.86347126123</v>
      </c>
      <c r="Q488" s="8">
        <f t="shared" ca="1" si="92"/>
        <v>132553.67402248725</v>
      </c>
      <c r="R488" s="13">
        <v>150000</v>
      </c>
      <c r="S488" s="13">
        <f ca="1">MIN(IF(AND(MONTH(A488)=5,'ÖNYP kalkulátor'!$IU$6="igen"),(M488+N488)*12/(1+IF('ÖNYP kalkulátor'!$C$16="nem",0,VLOOKUP(YEAR(A488),'ÖNYP kalkulátor'!$E$15:$J$75,4)))*0.2,0),R488)</f>
        <v>0</v>
      </c>
      <c r="T488" s="4">
        <f ca="1">(1+VLOOKUP(YEAR(A488),'ÖNYP kalkulátor'!$E$15:$F$75,2,FALSE)+VLOOKUP(YEAR(A488),'ÖNYP kalkulátor'!$E$15:$I$75,5,FALSE))^(1/12)-1</f>
        <v>4.0741237836483535E-3</v>
      </c>
      <c r="U488" s="8">
        <f t="shared" ca="1" si="87"/>
        <v>457066.8469658324</v>
      </c>
      <c r="V488" s="14">
        <f t="shared" ca="1" si="88"/>
        <v>112644833.15889949</v>
      </c>
      <c r="W488" s="8">
        <f t="shared" ca="1" si="89"/>
        <v>33970948.219743863</v>
      </c>
    </row>
    <row r="489" spans="1:23" x14ac:dyDescent="0.2">
      <c r="A489" s="6">
        <f t="shared" ca="1" si="97"/>
        <v>60449</v>
      </c>
      <c r="B489" s="12">
        <f t="shared" ca="1" si="98"/>
        <v>7</v>
      </c>
      <c r="C489" s="7">
        <f ca="1">(YEAR(A489)-YEAR('ÖNYP kalkulátor'!$C$10))+(MONTH(CF!A489)-MONTH('ÖNYP kalkulátor'!$C$10)-1)/12</f>
        <v>84.083333333333329</v>
      </c>
      <c r="D489" s="4">
        <f ca="1">(1+VLOOKUP(YEAR(A489),'ÖNYP kalkulátor'!$E$15:$F$75,2,FALSE))^(1/12)-1</f>
        <v>2.4662697723036864E-3</v>
      </c>
      <c r="E489" s="4">
        <f t="shared" ca="1" si="99"/>
        <v>3.3240946050571241</v>
      </c>
      <c r="F489" s="8">
        <f t="shared" ca="1" si="100"/>
        <v>112644833.15889949</v>
      </c>
      <c r="G489" s="8">
        <v>10000</v>
      </c>
      <c r="H489" s="8">
        <v>250000</v>
      </c>
      <c r="I489" s="8">
        <v>500000</v>
      </c>
      <c r="J489" s="8">
        <v>750000</v>
      </c>
      <c r="K489" s="8"/>
      <c r="L489" s="4">
        <f ca="1">+IF('ÖNYP kalkulátor'!$C$16="nem",0,
IF(MONTH(A489)=1,VLOOKUP(YEAR(A489),'ÖNYP kalkulátor'!$E$15:$J$75,4),0))</f>
        <v>0</v>
      </c>
      <c r="M489" s="8">
        <f t="shared" ca="1" si="95"/>
        <v>100796.96777277153</v>
      </c>
      <c r="N489" s="8">
        <f t="shared" ca="1" si="96"/>
        <v>33598.989257590511</v>
      </c>
      <c r="O489" s="8">
        <f t="shared" ca="1" si="90"/>
        <v>940771.69921253412</v>
      </c>
      <c r="P489" s="8">
        <f t="shared" ca="1" si="91"/>
        <v>906917.84071647143</v>
      </c>
      <c r="Q489" s="8">
        <f t="shared" ca="1" si="92"/>
        <v>133723.9772452102</v>
      </c>
      <c r="R489" s="13">
        <v>150000</v>
      </c>
      <c r="S489" s="13">
        <f ca="1">MIN(IF(AND(MONTH(A489)=5,'ÖNYP kalkulátor'!$IU$6="igen"),(M489+N489)*12/(1+IF('ÖNYP kalkulátor'!$C$16="nem",0,VLOOKUP(YEAR(A489),'ÖNYP kalkulátor'!$E$15:$J$75,4)))*0.2,0),R489)</f>
        <v>0</v>
      </c>
      <c r="T489" s="4">
        <f ca="1">(1+VLOOKUP(YEAR(A489),'ÖNYP kalkulátor'!$E$15:$F$75,2,FALSE)+VLOOKUP(YEAR(A489),'ÖNYP kalkulátor'!$E$15:$I$75,5,FALSE))^(1/12)-1</f>
        <v>4.0741237836483535E-3</v>
      </c>
      <c r="U489" s="8">
        <f t="shared" ca="1" si="87"/>
        <v>459473.80191391183</v>
      </c>
      <c r="V489" s="14">
        <f t="shared" ca="1" si="88"/>
        <v>113238030.93805861</v>
      </c>
      <c r="W489" s="8">
        <f t="shared" ca="1" si="89"/>
        <v>34065826.756489873</v>
      </c>
    </row>
    <row r="490" spans="1:23" x14ac:dyDescent="0.2">
      <c r="A490" s="6">
        <f t="shared" ca="1" si="97"/>
        <v>60480</v>
      </c>
      <c r="B490" s="12">
        <f t="shared" ca="1" si="98"/>
        <v>8</v>
      </c>
      <c r="C490" s="7">
        <f ca="1">(YEAR(A490)-YEAR('ÖNYP kalkulátor'!$C$10))+(MONTH(CF!A490)-MONTH('ÖNYP kalkulátor'!$C$10)-1)/12</f>
        <v>84.166666666666671</v>
      </c>
      <c r="D490" s="4">
        <f ca="1">(1+VLOOKUP(YEAR(A490),'ÖNYP kalkulátor'!$E$15:$F$75,2,FALSE))^(1/12)-1</f>
        <v>2.4662697723036864E-3</v>
      </c>
      <c r="E490" s="4">
        <f t="shared" ca="1" si="99"/>
        <v>3.3322927191018543</v>
      </c>
      <c r="F490" s="8">
        <f t="shared" ca="1" si="100"/>
        <v>113238030.93805861</v>
      </c>
      <c r="G490" s="8">
        <v>10000</v>
      </c>
      <c r="H490" s="8">
        <v>250000</v>
      </c>
      <c r="I490" s="8">
        <v>500000</v>
      </c>
      <c r="J490" s="8">
        <v>750000</v>
      </c>
      <c r="K490" s="8"/>
      <c r="L490" s="4">
        <f ca="1">+IF('ÖNYP kalkulátor'!$C$16="nem",0,
IF(MONTH(A490)=1,VLOOKUP(YEAR(A490),'ÖNYP kalkulátor'!$E$15:$J$75,4),0))</f>
        <v>0</v>
      </c>
      <c r="M490" s="8">
        <f t="shared" ca="1" si="95"/>
        <v>100796.96777277153</v>
      </c>
      <c r="N490" s="8">
        <f t="shared" ca="1" si="96"/>
        <v>33598.989257590511</v>
      </c>
      <c r="O490" s="8">
        <f t="shared" ca="1" si="90"/>
        <v>1075167.6562428961</v>
      </c>
      <c r="P490" s="8">
        <f t="shared" ca="1" si="91"/>
        <v>1040641.8179616816</v>
      </c>
      <c r="Q490" s="8">
        <f t="shared" ca="1" si="92"/>
        <v>133723.9772452102</v>
      </c>
      <c r="R490" s="13">
        <v>150000</v>
      </c>
      <c r="S490" s="13">
        <f ca="1">MIN(IF(AND(MONTH(A490)=5,'ÖNYP kalkulátor'!$IU$6="igen"),(M490+N490)*12/(1+IF('ÖNYP kalkulátor'!$C$16="nem",0,VLOOKUP(YEAR(A490),'ÖNYP kalkulátor'!$E$15:$J$75,4)))*0.2,0),R490)</f>
        <v>0</v>
      </c>
      <c r="T490" s="4">
        <f ca="1">(1+VLOOKUP(YEAR(A490),'ÖNYP kalkulátor'!$E$15:$F$75,2,FALSE)+VLOOKUP(YEAR(A490),'ÖNYP kalkulátor'!$E$15:$I$75,5,FALSE))^(1/12)-1</f>
        <v>4.0741237836483535E-3</v>
      </c>
      <c r="U490" s="8">
        <f t="shared" ca="1" si="87"/>
        <v>461890.56309439143</v>
      </c>
      <c r="V490" s="14">
        <f t="shared" ca="1" si="88"/>
        <v>113833645.47839822</v>
      </c>
      <c r="W490" s="8">
        <f t="shared" ca="1" si="89"/>
        <v>34160758.094828941</v>
      </c>
    </row>
    <row r="491" spans="1:23" x14ac:dyDescent="0.2">
      <c r="A491" s="6">
        <f t="shared" ca="1" si="97"/>
        <v>60511</v>
      </c>
      <c r="B491" s="12">
        <f t="shared" ca="1" si="98"/>
        <v>9</v>
      </c>
      <c r="C491" s="7">
        <f ca="1">(YEAR(A491)-YEAR('ÖNYP kalkulátor'!$C$10))+(MONTH(CF!A491)-MONTH('ÖNYP kalkulátor'!$C$10)-1)/12</f>
        <v>84.25</v>
      </c>
      <c r="D491" s="4">
        <f ca="1">(1+VLOOKUP(YEAR(A491),'ÖNYP kalkulátor'!$E$15:$F$75,2,FALSE))^(1/12)-1</f>
        <v>2.4662697723036864E-3</v>
      </c>
      <c r="E491" s="4">
        <f t="shared" ca="1" si="99"/>
        <v>3.340511051907443</v>
      </c>
      <c r="F491" s="8">
        <f t="shared" ca="1" si="100"/>
        <v>113833645.47839822</v>
      </c>
      <c r="G491" s="8">
        <v>10000</v>
      </c>
      <c r="H491" s="8">
        <v>250000</v>
      </c>
      <c r="I491" s="8">
        <v>500000</v>
      </c>
      <c r="J491" s="8">
        <v>750000</v>
      </c>
      <c r="K491" s="8"/>
      <c r="L491" s="4">
        <f ca="1">+IF('ÖNYP kalkulátor'!$C$16="nem",0,
IF(MONTH(A491)=1,VLOOKUP(YEAR(A491),'ÖNYP kalkulátor'!$E$15:$J$75,4),0))</f>
        <v>0</v>
      </c>
      <c r="M491" s="8">
        <f t="shared" ca="1" si="95"/>
        <v>100796.96777277153</v>
      </c>
      <c r="N491" s="8">
        <f t="shared" ca="1" si="96"/>
        <v>33598.989257590511</v>
      </c>
      <c r="O491" s="8">
        <f t="shared" ca="1" si="90"/>
        <v>1209563.6132732583</v>
      </c>
      <c r="P491" s="8">
        <f t="shared" ca="1" si="91"/>
        <v>1174365.7952068921</v>
      </c>
      <c r="Q491" s="8">
        <f t="shared" ca="1" si="92"/>
        <v>133723.97724521044</v>
      </c>
      <c r="R491" s="13">
        <v>150000</v>
      </c>
      <c r="S491" s="13">
        <f ca="1">MIN(IF(AND(MONTH(A491)=5,'ÖNYP kalkulátor'!$IU$6="igen"),(M491+N491)*12/(1+IF('ÖNYP kalkulátor'!$C$16="nem",0,VLOOKUP(YEAR(A491),'ÖNYP kalkulátor'!$E$15:$J$75,4)))*0.2,0),R491)</f>
        <v>0</v>
      </c>
      <c r="T491" s="4">
        <f ca="1">(1+VLOOKUP(YEAR(A491),'ÖNYP kalkulátor'!$E$15:$F$75,2,FALSE)+VLOOKUP(YEAR(A491),'ÖNYP kalkulátor'!$E$15:$I$75,5,FALSE))^(1/12)-1</f>
        <v>4.0741237836483535E-3</v>
      </c>
      <c r="U491" s="8">
        <f t="shared" ca="1" si="87"/>
        <v>464317.17045907583</v>
      </c>
      <c r="V491" s="14">
        <f t="shared" ca="1" si="88"/>
        <v>114431686.62610251</v>
      </c>
      <c r="W491" s="8">
        <f t="shared" ca="1" si="89"/>
        <v>34255742.563929439</v>
      </c>
    </row>
    <row r="492" spans="1:23" x14ac:dyDescent="0.2">
      <c r="A492" s="6">
        <f t="shared" ca="1" si="97"/>
        <v>60541</v>
      </c>
      <c r="B492" s="12">
        <f t="shared" ca="1" si="98"/>
        <v>10</v>
      </c>
      <c r="C492" s="7">
        <f ca="1">(YEAR(A492)-YEAR('ÖNYP kalkulátor'!$C$10))+(MONTH(CF!A492)-MONTH('ÖNYP kalkulátor'!$C$10)-1)/12</f>
        <v>84.333333333333329</v>
      </c>
      <c r="D492" s="4">
        <f ca="1">(1+VLOOKUP(YEAR(A492),'ÖNYP kalkulátor'!$E$15:$F$75,2,FALSE))^(1/12)-1</f>
        <v>2.4662697723036864E-3</v>
      </c>
      <c r="E492" s="4">
        <f t="shared" ca="1" si="99"/>
        <v>3.3487496533388086</v>
      </c>
      <c r="F492" s="8">
        <f t="shared" ca="1" si="100"/>
        <v>114431686.62610251</v>
      </c>
      <c r="G492" s="8">
        <v>10000</v>
      </c>
      <c r="H492" s="8">
        <v>250000</v>
      </c>
      <c r="I492" s="8">
        <v>500000</v>
      </c>
      <c r="J492" s="8">
        <v>750000</v>
      </c>
      <c r="K492" s="8"/>
      <c r="L492" s="4">
        <f ca="1">+IF('ÖNYP kalkulátor'!$C$16="nem",0,
IF(MONTH(A492)=1,VLOOKUP(YEAR(A492),'ÖNYP kalkulátor'!$E$15:$J$75,4),0))</f>
        <v>0</v>
      </c>
      <c r="M492" s="8">
        <f t="shared" ca="1" si="95"/>
        <v>100796.96777277153</v>
      </c>
      <c r="N492" s="8">
        <f t="shared" ca="1" si="96"/>
        <v>33598.989257590511</v>
      </c>
      <c r="O492" s="8">
        <f t="shared" ca="1" si="90"/>
        <v>1343959.5703036205</v>
      </c>
      <c r="P492" s="8">
        <f t="shared" ca="1" si="91"/>
        <v>1308089.7724521025</v>
      </c>
      <c r="Q492" s="8">
        <f t="shared" ca="1" si="92"/>
        <v>133723.97724521044</v>
      </c>
      <c r="R492" s="13">
        <v>150000</v>
      </c>
      <c r="S492" s="13">
        <f ca="1">MIN(IF(AND(MONTH(A492)=5,'ÖNYP kalkulátor'!$IU$6="igen"),(M492+N492)*12/(1+IF('ÖNYP kalkulátor'!$C$16="nem",0,VLOOKUP(YEAR(A492),'ÖNYP kalkulátor'!$E$15:$J$75,4)))*0.2,0),R492)</f>
        <v>0</v>
      </c>
      <c r="T492" s="4">
        <f ca="1">(1+VLOOKUP(YEAR(A492),'ÖNYP kalkulátor'!$E$15:$F$75,2,FALSE)+VLOOKUP(YEAR(A492),'ÖNYP kalkulátor'!$E$15:$I$75,5,FALSE))^(1/12)-1</f>
        <v>4.0741237836483535E-3</v>
      </c>
      <c r="U492" s="8">
        <f t="shared" ca="1" si="87"/>
        <v>466753.66412253818</v>
      </c>
      <c r="V492" s="14">
        <f t="shared" ca="1" si="88"/>
        <v>115032164.26747026</v>
      </c>
      <c r="W492" s="8">
        <f t="shared" ca="1" si="89"/>
        <v>34350780.492886223</v>
      </c>
    </row>
    <row r="493" spans="1:23" x14ac:dyDescent="0.2">
      <c r="A493" s="6">
        <f t="shared" ca="1" si="97"/>
        <v>60572</v>
      </c>
      <c r="B493" s="12">
        <f t="shared" ca="1" si="98"/>
        <v>11</v>
      </c>
      <c r="C493" s="7">
        <f ca="1">(YEAR(A493)-YEAR('ÖNYP kalkulátor'!$C$10))+(MONTH(CF!A493)-MONTH('ÖNYP kalkulátor'!$C$10)-1)/12</f>
        <v>84.416666666666671</v>
      </c>
      <c r="D493" s="4">
        <f ca="1">(1+VLOOKUP(YEAR(A493),'ÖNYP kalkulátor'!$E$15:$F$75,2,FALSE))^(1/12)-1</f>
        <v>2.4662697723036864E-3</v>
      </c>
      <c r="E493" s="4">
        <f t="shared" ca="1" si="99"/>
        <v>3.3570085733838506</v>
      </c>
      <c r="F493" s="8">
        <f t="shared" ca="1" si="100"/>
        <v>115032164.26747026</v>
      </c>
      <c r="G493" s="8">
        <v>10000</v>
      </c>
      <c r="H493" s="8">
        <v>250000</v>
      </c>
      <c r="I493" s="8">
        <v>500000</v>
      </c>
      <c r="J493" s="8">
        <v>750000</v>
      </c>
      <c r="K493" s="8"/>
      <c r="L493" s="4">
        <f ca="1">+IF('ÖNYP kalkulátor'!$C$16="nem",0,
IF(MONTH(A493)=1,VLOOKUP(YEAR(A493),'ÖNYP kalkulátor'!$E$15:$J$75,4),0))</f>
        <v>0</v>
      </c>
      <c r="M493" s="8">
        <f t="shared" ca="1" si="95"/>
        <v>100796.96777277153</v>
      </c>
      <c r="N493" s="8">
        <f t="shared" ca="1" si="96"/>
        <v>33598.989257590511</v>
      </c>
      <c r="O493" s="8">
        <f t="shared" ca="1" si="90"/>
        <v>1478355.5273339828</v>
      </c>
      <c r="P493" s="8">
        <f t="shared" ca="1" si="91"/>
        <v>1441813.7496973127</v>
      </c>
      <c r="Q493" s="8">
        <f t="shared" ca="1" si="92"/>
        <v>133723.9772452102</v>
      </c>
      <c r="R493" s="13">
        <v>150000</v>
      </c>
      <c r="S493" s="13">
        <f ca="1">MIN(IF(AND(MONTH(A493)=5,'ÖNYP kalkulátor'!$IU$6="igen"),(M493+N493)*12/(1+IF('ÖNYP kalkulátor'!$C$16="nem",0,VLOOKUP(YEAR(A493),'ÖNYP kalkulátor'!$E$15:$J$75,4)))*0.2,0),R493)</f>
        <v>0</v>
      </c>
      <c r="T493" s="4">
        <f ca="1">(1+VLOOKUP(YEAR(A493),'ÖNYP kalkulátor'!$E$15:$F$75,2,FALSE)+VLOOKUP(YEAR(A493),'ÖNYP kalkulátor'!$E$15:$I$75,5,FALSE))^(1/12)-1</f>
        <v>4.0741237836483535E-3</v>
      </c>
      <c r="U493" s="8">
        <f t="shared" ca="1" si="87"/>
        <v>469200.08436278359</v>
      </c>
      <c r="V493" s="14">
        <f t="shared" ca="1" si="88"/>
        <v>115635088.32907826</v>
      </c>
      <c r="W493" s="8">
        <f t="shared" ca="1" si="89"/>
        <v>34445872.210721992</v>
      </c>
    </row>
    <row r="494" spans="1:23" x14ac:dyDescent="0.2">
      <c r="A494" s="6">
        <f t="shared" ca="1" si="97"/>
        <v>60602</v>
      </c>
      <c r="B494" s="12">
        <f t="shared" ca="1" si="98"/>
        <v>12</v>
      </c>
      <c r="C494" s="7">
        <f ca="1">(YEAR(A494)-YEAR('ÖNYP kalkulátor'!$C$10))+(MONTH(CF!A494)-MONTH('ÖNYP kalkulátor'!$C$10)-1)/12</f>
        <v>84.5</v>
      </c>
      <c r="D494" s="4">
        <f ca="1">(1+VLOOKUP(YEAR(A494),'ÖNYP kalkulátor'!$E$15:$F$75,2,FALSE))^(1/12)-1</f>
        <v>2.4662697723036864E-3</v>
      </c>
      <c r="E494" s="4">
        <f t="shared" ca="1" si="99"/>
        <v>3.3652878621537514</v>
      </c>
      <c r="F494" s="8">
        <f t="shared" ca="1" si="100"/>
        <v>115635088.32907826</v>
      </c>
      <c r="G494" s="8">
        <v>10000</v>
      </c>
      <c r="H494" s="8">
        <v>250000</v>
      </c>
      <c r="I494" s="8">
        <v>500000</v>
      </c>
      <c r="J494" s="8">
        <v>750000</v>
      </c>
      <c r="K494" s="8"/>
      <c r="L494" s="4">
        <f ca="1">+IF('ÖNYP kalkulátor'!$C$16="nem",0,
IF(MONTH(A494)=1,VLOOKUP(YEAR(A494),'ÖNYP kalkulátor'!$E$15:$J$75,4),0))</f>
        <v>0</v>
      </c>
      <c r="M494" s="8">
        <f t="shared" ca="1" si="95"/>
        <v>100796.96777277153</v>
      </c>
      <c r="N494" s="8">
        <f t="shared" ca="1" si="96"/>
        <v>33598.989257590511</v>
      </c>
      <c r="O494" s="8">
        <f t="shared" ca="1" si="90"/>
        <v>1612751.484364345</v>
      </c>
      <c r="P494" s="8">
        <f t="shared" ca="1" si="91"/>
        <v>1575537.7269425234</v>
      </c>
      <c r="Q494" s="8">
        <f t="shared" ca="1" si="92"/>
        <v>133723.97724521067</v>
      </c>
      <c r="R494" s="13">
        <v>150000</v>
      </c>
      <c r="S494" s="13">
        <f ca="1">MIN(IF(AND(MONTH(A494)=5,'ÖNYP kalkulátor'!$IU$6="igen"),(M494+N494)*12/(1+IF('ÖNYP kalkulátor'!$C$16="nem",0,VLOOKUP(YEAR(A494),'ÖNYP kalkulátor'!$E$15:$J$75,4)))*0.2,0),R494)</f>
        <v>0</v>
      </c>
      <c r="T494" s="4">
        <f ca="1">(1+VLOOKUP(YEAR(A494),'ÖNYP kalkulátor'!$E$15:$F$75,2,FALSE)+VLOOKUP(YEAR(A494),'ÖNYP kalkulátor'!$E$15:$I$75,5,FALSE))^(1/12)-1</f>
        <v>4.0741237836483535E-3</v>
      </c>
      <c r="U494" s="8">
        <f t="shared" ca="1" si="87"/>
        <v>471656.47162191465</v>
      </c>
      <c r="V494" s="14">
        <f t="shared" ca="1" si="88"/>
        <v>116240468.77794538</v>
      </c>
      <c r="W494" s="8">
        <f t="shared" ca="1" si="89"/>
        <v>34541018.046388641</v>
      </c>
    </row>
    <row r="495" spans="1:23" x14ac:dyDescent="0.2">
      <c r="A495" s="6">
        <f t="shared" ca="1" si="97"/>
        <v>60633</v>
      </c>
      <c r="B495" s="12">
        <f t="shared" ca="1" si="98"/>
        <v>1</v>
      </c>
      <c r="C495" s="7">
        <f ca="1">(YEAR(A495)-YEAR('ÖNYP kalkulátor'!$C$10))+(MONTH(CF!A495)-MONTH('ÖNYP kalkulátor'!$C$10)-1)/12</f>
        <v>84.583333333333329</v>
      </c>
      <c r="D495" s="4">
        <f ca="1">(1+VLOOKUP(YEAR(A495),'ÖNYP kalkulátor'!$E$15:$F$75,2,FALSE))^(1/12)-1</f>
        <v>2.4662697723036864E-3</v>
      </c>
      <c r="E495" s="4">
        <f t="shared" ca="1" si="99"/>
        <v>3.3735875698832816</v>
      </c>
      <c r="F495" s="8">
        <f t="shared" ca="1" si="100"/>
        <v>116240468.77794538</v>
      </c>
      <c r="G495" s="8">
        <v>10000</v>
      </c>
      <c r="H495" s="8">
        <v>250000</v>
      </c>
      <c r="I495" s="8">
        <v>500000</v>
      </c>
      <c r="J495" s="8">
        <v>750000</v>
      </c>
      <c r="K495" s="8"/>
      <c r="L495" s="4">
        <f ca="1">+IF('ÖNYP kalkulátor'!$C$16="nem",0,
IF(MONTH(A495)=1,VLOOKUP(YEAR(A495),'ÖNYP kalkulátor'!$E$15:$J$75,4),0))</f>
        <v>0.03</v>
      </c>
      <c r="M495" s="8">
        <f t="shared" ca="1" si="95"/>
        <v>103820.87680595469</v>
      </c>
      <c r="N495" s="8">
        <f t="shared" ca="1" si="96"/>
        <v>34606.958935318224</v>
      </c>
      <c r="O495" s="8">
        <f t="shared" ca="1" si="90"/>
        <v>138427.83574127289</v>
      </c>
      <c r="P495" s="8">
        <f t="shared" ca="1" si="91"/>
        <v>129722.16559679652</v>
      </c>
      <c r="Q495" s="8">
        <f t="shared" ca="1" si="92"/>
        <v>129722.16559679652</v>
      </c>
      <c r="R495" s="13">
        <v>150000</v>
      </c>
      <c r="S495" s="13">
        <f ca="1">MIN(IF(AND(MONTH(A495)=5,'ÖNYP kalkulátor'!$IU$6="igen"),(M495+N495)*12/(1+IF('ÖNYP kalkulátor'!$C$16="nem",0,VLOOKUP(YEAR(A495),'ÖNYP kalkulátor'!$E$15:$J$75,4)))*0.2,0),R495)</f>
        <v>0</v>
      </c>
      <c r="T495" s="4">
        <f ca="1">(1+VLOOKUP(YEAR(A495),'ÖNYP kalkulátor'!$E$15:$F$75,2,FALSE)+VLOOKUP(YEAR(A495),'ÖNYP kalkulátor'!$E$15:$I$75,5,FALSE))^(1/12)-1</f>
        <v>4.0741237836483535E-3</v>
      </c>
      <c r="U495" s="8">
        <f t="shared" ca="1" si="87"/>
        <v>474106.56263078545</v>
      </c>
      <c r="V495" s="14">
        <f t="shared" ca="1" si="88"/>
        <v>116844297.50617297</v>
      </c>
      <c r="W495" s="8">
        <f t="shared" ca="1" si="89"/>
        <v>34635027.277568348</v>
      </c>
    </row>
    <row r="496" spans="1:23" x14ac:dyDescent="0.2">
      <c r="A496" s="6">
        <f t="shared" ca="1" si="97"/>
        <v>60664</v>
      </c>
      <c r="B496" s="12">
        <f t="shared" ca="1" si="98"/>
        <v>2</v>
      </c>
      <c r="C496" s="7">
        <f ca="1">(YEAR(A496)-YEAR('ÖNYP kalkulátor'!$C$10))+(MONTH(CF!A496)-MONTH('ÖNYP kalkulátor'!$C$10)-1)/12</f>
        <v>84.666666666666671</v>
      </c>
      <c r="D496" s="4">
        <f ca="1">(1+VLOOKUP(YEAR(A496),'ÖNYP kalkulátor'!$E$15:$F$75,2,FALSE))^(1/12)-1</f>
        <v>2.4662697723036864E-3</v>
      </c>
      <c r="E496" s="4">
        <f t="shared" ca="1" si="99"/>
        <v>3.3819077469311041</v>
      </c>
      <c r="F496" s="8">
        <f t="shared" ca="1" si="100"/>
        <v>116844297.50617297</v>
      </c>
      <c r="G496" s="8">
        <v>10000</v>
      </c>
      <c r="H496" s="8">
        <v>250000</v>
      </c>
      <c r="I496" s="8">
        <v>500000</v>
      </c>
      <c r="J496" s="8">
        <v>750000</v>
      </c>
      <c r="K496" s="8"/>
      <c r="L496" s="4">
        <f ca="1">+IF('ÖNYP kalkulátor'!$C$16="nem",0,
IF(MONTH(A496)=1,VLOOKUP(YEAR(A496),'ÖNYP kalkulátor'!$E$15:$J$75,4),0))</f>
        <v>0</v>
      </c>
      <c r="M496" s="8">
        <f t="shared" ca="1" si="95"/>
        <v>103820.87680595469</v>
      </c>
      <c r="N496" s="8">
        <f t="shared" ca="1" si="96"/>
        <v>34606.958935318224</v>
      </c>
      <c r="O496" s="8">
        <f t="shared" ca="1" si="90"/>
        <v>276855.67148254579</v>
      </c>
      <c r="P496" s="8">
        <f t="shared" ca="1" si="91"/>
        <v>260112.88790841849</v>
      </c>
      <c r="Q496" s="8">
        <f t="shared" ca="1" si="92"/>
        <v>130390.72231162197</v>
      </c>
      <c r="R496" s="13">
        <v>150000</v>
      </c>
      <c r="S496" s="13">
        <f ca="1">MIN(IF(AND(MONTH(A496)=5,'ÖNYP kalkulátor'!$IU$6="igen"),(M496+N496)*12/(1+IF('ÖNYP kalkulátor'!$C$16="nem",0,VLOOKUP(YEAR(A496),'ÖNYP kalkulátor'!$E$15:$J$75,4)))*0.2,0),R496)</f>
        <v>0</v>
      </c>
      <c r="T496" s="4">
        <f ca="1">(1+VLOOKUP(YEAR(A496),'ÖNYP kalkulátor'!$E$15:$F$75,2,FALSE)+VLOOKUP(YEAR(A496),'ÖNYP kalkulátor'!$E$15:$I$75,5,FALSE))^(1/12)-1</f>
        <v>4.0741237836483535E-3</v>
      </c>
      <c r="U496" s="8">
        <f t="shared" ca="1" si="87"/>
        <v>476569.35939652013</v>
      </c>
      <c r="V496" s="14">
        <f t="shared" ca="1" si="88"/>
        <v>117451257.5878811</v>
      </c>
      <c r="W496" s="8">
        <f t="shared" ca="1" si="89"/>
        <v>34729290.795841984</v>
      </c>
    </row>
    <row r="497" spans="1:23" x14ac:dyDescent="0.2">
      <c r="A497" s="6">
        <f t="shared" ca="1" si="97"/>
        <v>60692</v>
      </c>
      <c r="B497" s="12">
        <f t="shared" ca="1" si="98"/>
        <v>3</v>
      </c>
      <c r="C497" s="7">
        <f ca="1">(YEAR(A497)-YEAR('ÖNYP kalkulátor'!$C$10))+(MONTH(CF!A497)-MONTH('ÖNYP kalkulátor'!$C$10)-1)/12</f>
        <v>84.75</v>
      </c>
      <c r="D497" s="4">
        <f ca="1">(1+VLOOKUP(YEAR(A497),'ÖNYP kalkulátor'!$E$15:$F$75,2,FALSE))^(1/12)-1</f>
        <v>2.4662697723036864E-3</v>
      </c>
      <c r="E497" s="4">
        <f t="shared" ca="1" si="99"/>
        <v>3.3902484437800799</v>
      </c>
      <c r="F497" s="8">
        <f t="shared" ca="1" si="100"/>
        <v>117451257.5878811</v>
      </c>
      <c r="G497" s="8">
        <v>10000</v>
      </c>
      <c r="H497" s="8">
        <v>250000</v>
      </c>
      <c r="I497" s="8">
        <v>500000</v>
      </c>
      <c r="J497" s="8">
        <v>750000</v>
      </c>
      <c r="K497" s="8"/>
      <c r="L497" s="4">
        <f ca="1">+IF('ÖNYP kalkulátor'!$C$16="nem",0,
IF(MONTH(A497)=1,VLOOKUP(YEAR(A497),'ÖNYP kalkulátor'!$E$15:$J$75,4),0))</f>
        <v>0</v>
      </c>
      <c r="M497" s="8">
        <f t="shared" ca="1" si="95"/>
        <v>103820.87680595469</v>
      </c>
      <c r="N497" s="8">
        <f t="shared" ca="1" si="96"/>
        <v>34606.958935318224</v>
      </c>
      <c r="O497" s="8">
        <f t="shared" ca="1" si="90"/>
        <v>415283.50722381868</v>
      </c>
      <c r="P497" s="8">
        <f t="shared" ca="1" si="91"/>
        <v>391619.33186262776</v>
      </c>
      <c r="Q497" s="8">
        <f t="shared" ca="1" si="92"/>
        <v>131506.44395420927</v>
      </c>
      <c r="R497" s="13">
        <v>150000</v>
      </c>
      <c r="S497" s="13">
        <f ca="1">MIN(IF(AND(MONTH(A497)=5,'ÖNYP kalkulátor'!$IU$6="igen"),(M497+N497)*12/(1+IF('ÖNYP kalkulátor'!$C$16="nem",0,VLOOKUP(YEAR(A497),'ÖNYP kalkulátor'!$E$15:$J$75,4)))*0.2,0),R497)</f>
        <v>0</v>
      </c>
      <c r="T497" s="4">
        <f ca="1">(1+VLOOKUP(YEAR(A497),'ÖNYP kalkulátor'!$E$15:$F$75,2,FALSE)+VLOOKUP(YEAR(A497),'ÖNYP kalkulátor'!$E$15:$I$75,5,FALSE))^(1/12)-1</f>
        <v>4.0741237836483535E-3</v>
      </c>
      <c r="U497" s="8">
        <f t="shared" ca="1" si="87"/>
        <v>479046.73548921244</v>
      </c>
      <c r="V497" s="14">
        <f t="shared" ca="1" si="88"/>
        <v>118061810.76732454</v>
      </c>
      <c r="W497" s="8">
        <f t="shared" ca="1" si="89"/>
        <v>34823940.70084352</v>
      </c>
    </row>
    <row r="498" spans="1:23" x14ac:dyDescent="0.2">
      <c r="A498" s="6">
        <f t="shared" ca="1" si="97"/>
        <v>60723</v>
      </c>
      <c r="B498" s="12">
        <f t="shared" ca="1" si="98"/>
        <v>4</v>
      </c>
      <c r="C498" s="7">
        <f ca="1">(YEAR(A498)-YEAR('ÖNYP kalkulátor'!$C$10))+(MONTH(CF!A498)-MONTH('ÖNYP kalkulátor'!$C$10)-1)/12</f>
        <v>84.833333333333329</v>
      </c>
      <c r="D498" s="4">
        <f ca="1">(1+VLOOKUP(YEAR(A498),'ÖNYP kalkulátor'!$E$15:$F$75,2,FALSE))^(1/12)-1</f>
        <v>2.4662697723036864E-3</v>
      </c>
      <c r="E498" s="4">
        <f t="shared" ca="1" si="99"/>
        <v>3.3986097110375746</v>
      </c>
      <c r="F498" s="8">
        <f t="shared" ca="1" si="100"/>
        <v>118061810.76732454</v>
      </c>
      <c r="G498" s="8">
        <v>10000</v>
      </c>
      <c r="H498" s="8">
        <v>250000</v>
      </c>
      <c r="I498" s="8">
        <v>500000</v>
      </c>
      <c r="J498" s="8">
        <v>750000</v>
      </c>
      <c r="K498" s="8"/>
      <c r="L498" s="4">
        <f ca="1">+IF('ÖNYP kalkulátor'!$C$16="nem",0,
IF(MONTH(A498)=1,VLOOKUP(YEAR(A498),'ÖNYP kalkulátor'!$E$15:$J$75,4),0))</f>
        <v>0</v>
      </c>
      <c r="M498" s="8">
        <f t="shared" ca="1" si="95"/>
        <v>103820.87680595469</v>
      </c>
      <c r="N498" s="8">
        <f t="shared" ca="1" si="96"/>
        <v>34606.958935318224</v>
      </c>
      <c r="O498" s="8">
        <f t="shared" ca="1" si="90"/>
        <v>553711.34296509158</v>
      </c>
      <c r="P498" s="8">
        <f t="shared" ca="1" si="91"/>
        <v>524737.11610578978</v>
      </c>
      <c r="Q498" s="8">
        <f t="shared" ca="1" si="92"/>
        <v>133117.78424316202</v>
      </c>
      <c r="R498" s="13">
        <v>150000</v>
      </c>
      <c r="S498" s="13">
        <f ca="1">MIN(IF(AND(MONTH(A498)=5,'ÖNYP kalkulátor'!$IU$6="igen"),(M498+N498)*12/(1+IF('ÖNYP kalkulátor'!$C$16="nem",0,VLOOKUP(YEAR(A498),'ÖNYP kalkulátor'!$E$15:$J$75,4)))*0.2,0),R498)</f>
        <v>0</v>
      </c>
      <c r="T498" s="4">
        <f ca="1">(1+VLOOKUP(YEAR(A498),'ÖNYP kalkulátor'!$E$15:$F$75,2,FALSE)+VLOOKUP(YEAR(A498),'ÖNYP kalkulátor'!$E$15:$I$75,5,FALSE))^(1/12)-1</f>
        <v>4.0741237836483535E-3</v>
      </c>
      <c r="U498" s="8">
        <f t="shared" ca="1" si="87"/>
        <v>481540.7695185598</v>
      </c>
      <c r="V498" s="14">
        <f t="shared" ca="1" si="88"/>
        <v>118676469.32108626</v>
      </c>
      <c r="W498" s="8">
        <f t="shared" ca="1" si="89"/>
        <v>34919122.644669622</v>
      </c>
    </row>
    <row r="499" spans="1:23" x14ac:dyDescent="0.2">
      <c r="A499" s="6">
        <f t="shared" ca="1" si="97"/>
        <v>60753</v>
      </c>
      <c r="B499" s="12">
        <f t="shared" ca="1" si="98"/>
        <v>5</v>
      </c>
      <c r="C499" s="7">
        <f ca="1">(YEAR(A499)-YEAR('ÖNYP kalkulátor'!$C$10))+(MONTH(CF!A499)-MONTH('ÖNYP kalkulátor'!$C$10)-1)/12</f>
        <v>84.916666666666671</v>
      </c>
      <c r="D499" s="4">
        <f ca="1">(1+VLOOKUP(YEAR(A499),'ÖNYP kalkulátor'!$E$15:$F$75,2,FALSE))^(1/12)-1</f>
        <v>2.4662697723036864E-3</v>
      </c>
      <c r="E499" s="4">
        <f t="shared" ca="1" si="99"/>
        <v>3.4069915994357642</v>
      </c>
      <c r="F499" s="8">
        <f t="shared" ca="1" si="100"/>
        <v>118676469.32108626</v>
      </c>
      <c r="G499" s="8">
        <v>10000</v>
      </c>
      <c r="H499" s="8">
        <v>250000</v>
      </c>
      <c r="I499" s="8">
        <v>500000</v>
      </c>
      <c r="J499" s="8">
        <v>750000</v>
      </c>
      <c r="K499" s="8"/>
      <c r="L499" s="4">
        <f ca="1">+IF('ÖNYP kalkulátor'!$C$16="nem",0,
IF(MONTH(A499)=1,VLOOKUP(YEAR(A499),'ÖNYP kalkulátor'!$E$15:$J$75,4),0))</f>
        <v>0</v>
      </c>
      <c r="M499" s="8">
        <f t="shared" ca="1" si="95"/>
        <v>103820.87680595469</v>
      </c>
      <c r="N499" s="8">
        <f t="shared" ca="1" si="96"/>
        <v>34606.958935318224</v>
      </c>
      <c r="O499" s="8">
        <f t="shared" ca="1" si="90"/>
        <v>692139.17870636447</v>
      </c>
      <c r="P499" s="8">
        <f t="shared" ca="1" si="91"/>
        <v>660396.39513223711</v>
      </c>
      <c r="Q499" s="8">
        <f t="shared" ca="1" si="92"/>
        <v>135659.27902644733</v>
      </c>
      <c r="R499" s="13">
        <v>150000</v>
      </c>
      <c r="S499" s="13">
        <f ca="1">MIN(IF(AND(MONTH(A499)=5,'ÖNYP kalkulátor'!$IU$6="igen"),(M499+N499)*12/(1+IF('ÖNYP kalkulátor'!$C$16="nem",0,VLOOKUP(YEAR(A499),'ÖNYP kalkulátor'!$E$15:$J$75,4)))*0.2,0),R499)</f>
        <v>150000</v>
      </c>
      <c r="T499" s="4">
        <f ca="1">(1+VLOOKUP(YEAR(A499),'ÖNYP kalkulátor'!$E$15:$F$75,2,FALSE)+VLOOKUP(YEAR(A499),'ÖNYP kalkulátor'!$E$15:$I$75,5,FALSE))^(1/12)-1</f>
        <v>4.0741237836483535E-3</v>
      </c>
      <c r="U499" s="8">
        <f t="shared" ca="1" si="87"/>
        <v>484666.43748315319</v>
      </c>
      <c r="V499" s="14">
        <f t="shared" ca="1" si="88"/>
        <v>119446795.03759585</v>
      </c>
      <c r="W499" s="8">
        <f t="shared" ca="1" si="89"/>
        <v>35059315.983455189</v>
      </c>
    </row>
    <row r="500" spans="1:23" x14ac:dyDescent="0.2">
      <c r="A500" s="6">
        <f t="shared" ca="1" si="97"/>
        <v>60784</v>
      </c>
      <c r="B500" s="12">
        <f t="shared" ca="1" si="98"/>
        <v>6</v>
      </c>
      <c r="C500" s="7">
        <f ca="1">(YEAR(A500)-YEAR('ÖNYP kalkulátor'!$C$10))+(MONTH(CF!A500)-MONTH('ÖNYP kalkulátor'!$C$10)-1)/12</f>
        <v>85</v>
      </c>
      <c r="D500" s="4">
        <f ca="1">(1+VLOOKUP(YEAR(A500),'ÖNYP kalkulátor'!$E$15:$F$75,2,FALSE))^(1/12)-1</f>
        <v>2.4662697723036864E-3</v>
      </c>
      <c r="E500" s="4">
        <f t="shared" ca="1" si="99"/>
        <v>3.4153941598319451</v>
      </c>
      <c r="F500" s="8">
        <f t="shared" ca="1" si="100"/>
        <v>119446795.03759585</v>
      </c>
      <c r="G500" s="8">
        <v>10000</v>
      </c>
      <c r="H500" s="8">
        <v>250000</v>
      </c>
      <c r="I500" s="8">
        <v>500000</v>
      </c>
      <c r="J500" s="8">
        <v>750000</v>
      </c>
      <c r="K500" s="8"/>
      <c r="L500" s="4">
        <f ca="1">+IF('ÖNYP kalkulátor'!$C$16="nem",0,
IF(MONTH(A500)=1,VLOOKUP(YEAR(A500),'ÖNYP kalkulátor'!$E$15:$J$75,4),0))</f>
        <v>0</v>
      </c>
      <c r="M500" s="8">
        <f t="shared" ca="1" si="95"/>
        <v>103820.87680595469</v>
      </c>
      <c r="N500" s="8">
        <f t="shared" ca="1" si="96"/>
        <v>34606.958935318224</v>
      </c>
      <c r="O500" s="8">
        <f t="shared" ca="1" si="90"/>
        <v>830567.01444763737</v>
      </c>
      <c r="P500" s="8">
        <f t="shared" ca="1" si="91"/>
        <v>797264.17937539914</v>
      </c>
      <c r="Q500" s="8">
        <f t="shared" ca="1" si="92"/>
        <v>136867.78424316202</v>
      </c>
      <c r="R500" s="13">
        <v>150000</v>
      </c>
      <c r="S500" s="13">
        <f ca="1">MIN(IF(AND(MONTH(A500)=5,'ÖNYP kalkulátor'!$IU$6="igen"),(M500+N500)*12/(1+IF('ÖNYP kalkulátor'!$C$16="nem",0,VLOOKUP(YEAR(A500),'ÖNYP kalkulátor'!$E$15:$J$75,4)))*0.2,0),R500)</f>
        <v>0</v>
      </c>
      <c r="T500" s="4">
        <f ca="1">(1+VLOOKUP(YEAR(A500),'ÖNYP kalkulátor'!$E$15:$F$75,2,FALSE)+VLOOKUP(YEAR(A500),'ÖNYP kalkulátor'!$E$15:$I$75,5,FALSE))^(1/12)-1</f>
        <v>4.0741237836483535E-3</v>
      </c>
      <c r="U500" s="8">
        <f t="shared" ca="1" si="87"/>
        <v>487198.64483823971</v>
      </c>
      <c r="V500" s="14">
        <f t="shared" ca="1" si="88"/>
        <v>120070861.46667726</v>
      </c>
      <c r="W500" s="8">
        <f t="shared" ca="1" si="89"/>
        <v>35155784.617429152</v>
      </c>
    </row>
    <row r="501" spans="1:23" x14ac:dyDescent="0.2">
      <c r="A501" s="6">
        <f t="shared" ca="1" si="97"/>
        <v>60814</v>
      </c>
      <c r="B501" s="12">
        <f t="shared" ca="1" si="98"/>
        <v>7</v>
      </c>
      <c r="C501" s="7">
        <f ca="1">(YEAR(A501)-YEAR('ÖNYP kalkulátor'!$C$10))+(MONTH(CF!A501)-MONTH('ÖNYP kalkulátor'!$C$10)-1)/12</f>
        <v>85.083333333333329</v>
      </c>
      <c r="D501" s="4">
        <f ca="1">(1+VLOOKUP(YEAR(A501),'ÖNYP kalkulátor'!$E$15:$F$75,2,FALSE))^(1/12)-1</f>
        <v>2.4662697723036864E-3</v>
      </c>
      <c r="E501" s="4">
        <f t="shared" ca="1" si="99"/>
        <v>3.4238174432088413</v>
      </c>
      <c r="F501" s="8">
        <f t="shared" ca="1" si="100"/>
        <v>120070861.46667726</v>
      </c>
      <c r="G501" s="8">
        <v>10000</v>
      </c>
      <c r="H501" s="8">
        <v>250000</v>
      </c>
      <c r="I501" s="8">
        <v>500000</v>
      </c>
      <c r="J501" s="8">
        <v>750000</v>
      </c>
      <c r="K501" s="8"/>
      <c r="L501" s="4">
        <f ca="1">+IF('ÖNYP kalkulátor'!$C$16="nem",0,
IF(MONTH(A501)=1,VLOOKUP(YEAR(A501),'ÖNYP kalkulátor'!$E$15:$J$75,4),0))</f>
        <v>0</v>
      </c>
      <c r="M501" s="8">
        <f t="shared" ca="1" si="95"/>
        <v>103820.87680595469</v>
      </c>
      <c r="N501" s="8">
        <f t="shared" ca="1" si="96"/>
        <v>34606.958935318224</v>
      </c>
      <c r="O501" s="8">
        <f t="shared" ca="1" si="90"/>
        <v>968994.85018891026</v>
      </c>
      <c r="P501" s="8">
        <f t="shared" ca="1" si="91"/>
        <v>934999.8759379657</v>
      </c>
      <c r="Q501" s="8">
        <f t="shared" ca="1" si="92"/>
        <v>137735.69656256656</v>
      </c>
      <c r="R501" s="13">
        <v>150000</v>
      </c>
      <c r="S501" s="13">
        <f ca="1">MIN(IF(AND(MONTH(A501)=5,'ÖNYP kalkulátor'!$IU$6="igen"),(M501+N501)*12/(1+IF('ÖNYP kalkulátor'!$C$16="nem",0,VLOOKUP(YEAR(A501),'ÖNYP kalkulátor'!$E$15:$J$75,4)))*0.2,0),R501)</f>
        <v>0</v>
      </c>
      <c r="T501" s="4">
        <f ca="1">(1+VLOOKUP(YEAR(A501),'ÖNYP kalkulátor'!$E$15:$F$75,2,FALSE)+VLOOKUP(YEAR(A501),'ÖNYP kalkulátor'!$E$15:$I$75,5,FALSE))^(1/12)-1</f>
        <v>4.0741237836483535E-3</v>
      </c>
      <c r="U501" s="8">
        <f t="shared" ca="1" si="87"/>
        <v>489744.70470175939</v>
      </c>
      <c r="V501" s="14">
        <f t="shared" ca="1" si="88"/>
        <v>120698341.8679416</v>
      </c>
      <c r="W501" s="8">
        <f t="shared" ca="1" si="89"/>
        <v>35252563.51133655</v>
      </c>
    </row>
    <row r="502" spans="1:23" x14ac:dyDescent="0.2">
      <c r="A502" s="6">
        <f t="shared" ca="1" si="97"/>
        <v>60845</v>
      </c>
      <c r="B502" s="12">
        <f t="shared" ca="1" si="98"/>
        <v>8</v>
      </c>
      <c r="C502" s="7">
        <f ca="1">(YEAR(A502)-YEAR('ÖNYP kalkulátor'!$C$10))+(MONTH(CF!A502)-MONTH('ÖNYP kalkulátor'!$C$10)-1)/12</f>
        <v>85.166666666666671</v>
      </c>
      <c r="D502" s="4">
        <f ca="1">(1+VLOOKUP(YEAR(A502),'ÖNYP kalkulátor'!$E$15:$F$75,2,FALSE))^(1/12)-1</f>
        <v>2.4662697723036864E-3</v>
      </c>
      <c r="E502" s="4">
        <f t="shared" ca="1" si="99"/>
        <v>3.4322615006749135</v>
      </c>
      <c r="F502" s="8">
        <f t="shared" ca="1" si="100"/>
        <v>120698341.8679416</v>
      </c>
      <c r="G502" s="8">
        <v>10000</v>
      </c>
      <c r="H502" s="8">
        <v>250000</v>
      </c>
      <c r="I502" s="8">
        <v>500000</v>
      </c>
      <c r="J502" s="8">
        <v>750000</v>
      </c>
      <c r="K502" s="8"/>
      <c r="L502" s="4">
        <f ca="1">+IF('ÖNYP kalkulátor'!$C$16="nem",0,
IF(MONTH(A502)=1,VLOOKUP(YEAR(A502),'ÖNYP kalkulátor'!$E$15:$J$75,4),0))</f>
        <v>0</v>
      </c>
      <c r="M502" s="8">
        <f t="shared" ca="1" si="95"/>
        <v>103820.87680595469</v>
      </c>
      <c r="N502" s="8">
        <f t="shared" ca="1" si="96"/>
        <v>34606.958935318224</v>
      </c>
      <c r="O502" s="8">
        <f t="shared" ca="1" si="90"/>
        <v>1107422.6859301832</v>
      </c>
      <c r="P502" s="8">
        <f t="shared" ca="1" si="91"/>
        <v>1072735.5725005323</v>
      </c>
      <c r="Q502" s="8">
        <f t="shared" ca="1" si="92"/>
        <v>137735.69656256656</v>
      </c>
      <c r="R502" s="13">
        <v>150000</v>
      </c>
      <c r="S502" s="13">
        <f ca="1">MIN(IF(AND(MONTH(A502)=5,'ÖNYP kalkulátor'!$IU$6="igen"),(M502+N502)*12/(1+IF('ÖNYP kalkulátor'!$C$16="nem",0,VLOOKUP(YEAR(A502),'ÖNYP kalkulátor'!$E$15:$J$75,4)))*0.2,0),R502)</f>
        <v>0</v>
      </c>
      <c r="T502" s="4">
        <f ca="1">(1+VLOOKUP(YEAR(A502),'ÖNYP kalkulátor'!$E$15:$F$75,2,FALSE)+VLOOKUP(YEAR(A502),'ÖNYP kalkulátor'!$E$15:$I$75,5,FALSE))^(1/12)-1</f>
        <v>4.0741237836483535E-3</v>
      </c>
      <c r="U502" s="8">
        <f t="shared" ca="1" si="87"/>
        <v>492301.13752832368</v>
      </c>
      <c r="V502" s="14">
        <f t="shared" ca="1" si="88"/>
        <v>121328378.70203251</v>
      </c>
      <c r="W502" s="8">
        <f t="shared" ca="1" si="89"/>
        <v>35349398.254816748</v>
      </c>
    </row>
    <row r="503" spans="1:23" x14ac:dyDescent="0.2">
      <c r="A503" s="6">
        <f t="shared" ca="1" si="97"/>
        <v>60876</v>
      </c>
      <c r="B503" s="12">
        <f t="shared" ca="1" si="98"/>
        <v>9</v>
      </c>
      <c r="C503" s="7">
        <f ca="1">(YEAR(A503)-YEAR('ÖNYP kalkulátor'!$C$10))+(MONTH(CF!A503)-MONTH('ÖNYP kalkulátor'!$C$10)-1)/12</f>
        <v>85.25</v>
      </c>
      <c r="D503" s="4">
        <f ca="1">(1+VLOOKUP(YEAR(A503),'ÖNYP kalkulátor'!$E$15:$F$75,2,FALSE))^(1/12)-1</f>
        <v>2.4662697723036864E-3</v>
      </c>
      <c r="E503" s="4">
        <f t="shared" ca="1" si="99"/>
        <v>3.44072638346467</v>
      </c>
      <c r="F503" s="8">
        <f t="shared" ca="1" si="100"/>
        <v>121328378.70203251</v>
      </c>
      <c r="G503" s="8">
        <v>10000</v>
      </c>
      <c r="H503" s="8">
        <v>250000</v>
      </c>
      <c r="I503" s="8">
        <v>500000</v>
      </c>
      <c r="J503" s="8">
        <v>750000</v>
      </c>
      <c r="K503" s="8"/>
      <c r="L503" s="4">
        <f ca="1">+IF('ÖNYP kalkulátor'!$C$16="nem",0,
IF(MONTH(A503)=1,VLOOKUP(YEAR(A503),'ÖNYP kalkulátor'!$E$15:$J$75,4),0))</f>
        <v>0</v>
      </c>
      <c r="M503" s="8">
        <f t="shared" ca="1" si="95"/>
        <v>103820.87680595469</v>
      </c>
      <c r="N503" s="8">
        <f t="shared" ca="1" si="96"/>
        <v>34606.958935318224</v>
      </c>
      <c r="O503" s="8">
        <f t="shared" ca="1" si="90"/>
        <v>1245850.5216714561</v>
      </c>
      <c r="P503" s="8">
        <f t="shared" ca="1" si="91"/>
        <v>1210471.2690630988</v>
      </c>
      <c r="Q503" s="8">
        <f t="shared" ca="1" si="92"/>
        <v>137735.69656256656</v>
      </c>
      <c r="R503" s="13">
        <v>150000</v>
      </c>
      <c r="S503" s="13">
        <f ca="1">MIN(IF(AND(MONTH(A503)=5,'ÖNYP kalkulátor'!$IU$6="igen"),(M503+N503)*12/(1+IF('ÖNYP kalkulátor'!$C$16="nem",0,VLOOKUP(YEAR(A503),'ÖNYP kalkulátor'!$E$15:$J$75,4)))*0.2,0),R503)</f>
        <v>0</v>
      </c>
      <c r="T503" s="4">
        <f ca="1">(1+VLOOKUP(YEAR(A503),'ÖNYP kalkulátor'!$E$15:$F$75,2,FALSE)+VLOOKUP(YEAR(A503),'ÖNYP kalkulátor'!$E$15:$I$75,5,FALSE))^(1/12)-1</f>
        <v>4.0741237836483535E-3</v>
      </c>
      <c r="U503" s="8">
        <f t="shared" ca="1" si="87"/>
        <v>494867.98557866795</v>
      </c>
      <c r="V503" s="14">
        <f t="shared" ca="1" si="88"/>
        <v>121960982.38417375</v>
      </c>
      <c r="W503" s="8">
        <f t="shared" ca="1" si="89"/>
        <v>35446289.181926772</v>
      </c>
    </row>
    <row r="504" spans="1:23" x14ac:dyDescent="0.2">
      <c r="A504" s="6">
        <f t="shared" ca="1" si="97"/>
        <v>60906</v>
      </c>
      <c r="B504" s="12">
        <f t="shared" ca="1" si="98"/>
        <v>10</v>
      </c>
      <c r="C504" s="7">
        <f ca="1">(YEAR(A504)-YEAR('ÖNYP kalkulátor'!$C$10))+(MONTH(CF!A504)-MONTH('ÖNYP kalkulátor'!$C$10)-1)/12</f>
        <v>85.333333333333329</v>
      </c>
      <c r="D504" s="4">
        <f ca="1">(1+VLOOKUP(YEAR(A504),'ÖNYP kalkulátor'!$E$15:$F$75,2,FALSE))^(1/12)-1</f>
        <v>2.4662697723036864E-3</v>
      </c>
      <c r="E504" s="4">
        <f t="shared" ca="1" si="99"/>
        <v>3.4492121429389768</v>
      </c>
      <c r="F504" s="8">
        <f t="shared" ca="1" si="100"/>
        <v>121960982.38417375</v>
      </c>
      <c r="G504" s="8">
        <v>10000</v>
      </c>
      <c r="H504" s="8">
        <v>250000</v>
      </c>
      <c r="I504" s="8">
        <v>500000</v>
      </c>
      <c r="J504" s="8">
        <v>750000</v>
      </c>
      <c r="K504" s="8"/>
      <c r="L504" s="4">
        <f ca="1">+IF('ÖNYP kalkulátor'!$C$16="nem",0,
IF(MONTH(A504)=1,VLOOKUP(YEAR(A504),'ÖNYP kalkulátor'!$E$15:$J$75,4),0))</f>
        <v>0</v>
      </c>
      <c r="M504" s="8">
        <f t="shared" ca="1" si="95"/>
        <v>103820.87680595469</v>
      </c>
      <c r="N504" s="8">
        <f t="shared" ca="1" si="96"/>
        <v>34606.958935318224</v>
      </c>
      <c r="O504" s="8">
        <f t="shared" ca="1" si="90"/>
        <v>1384278.3574127289</v>
      </c>
      <c r="P504" s="8">
        <f t="shared" ca="1" si="91"/>
        <v>1348206.9656256652</v>
      </c>
      <c r="Q504" s="8">
        <f t="shared" ca="1" si="92"/>
        <v>137735.69656256633</v>
      </c>
      <c r="R504" s="13">
        <v>150000</v>
      </c>
      <c r="S504" s="13">
        <f ca="1">MIN(IF(AND(MONTH(A504)=5,'ÖNYP kalkulátor'!$IU$6="igen"),(M504+N504)*12/(1+IF('ÖNYP kalkulátor'!$C$16="nem",0,VLOOKUP(YEAR(A504),'ÖNYP kalkulátor'!$E$15:$J$75,4)))*0.2,0),R504)</f>
        <v>0</v>
      </c>
      <c r="T504" s="4">
        <f ca="1">(1+VLOOKUP(YEAR(A504),'ÖNYP kalkulátor'!$E$15:$F$75,2,FALSE)+VLOOKUP(YEAR(A504),'ÖNYP kalkulátor'!$E$15:$I$75,5,FALSE))^(1/12)-1</f>
        <v>4.0741237836483535E-3</v>
      </c>
      <c r="U504" s="8">
        <f t="shared" ca="1" si="87"/>
        <v>497445.29128570308</v>
      </c>
      <c r="V504" s="14">
        <f t="shared" ca="1" si="88"/>
        <v>122596163.37202203</v>
      </c>
      <c r="W504" s="8">
        <f t="shared" ca="1" si="89"/>
        <v>35543236.626657963</v>
      </c>
    </row>
    <row r="505" spans="1:23" x14ac:dyDescent="0.2">
      <c r="A505" s="6">
        <f t="shared" ca="1" si="97"/>
        <v>60937</v>
      </c>
      <c r="B505" s="12">
        <f t="shared" ca="1" si="98"/>
        <v>11</v>
      </c>
      <c r="C505" s="7">
        <f ca="1">(YEAR(A505)-YEAR('ÖNYP kalkulátor'!$C$10))+(MONTH(CF!A505)-MONTH('ÖNYP kalkulátor'!$C$10)-1)/12</f>
        <v>85.416666666666671</v>
      </c>
      <c r="D505" s="4">
        <f ca="1">(1+VLOOKUP(YEAR(A505),'ÖNYP kalkulátor'!$E$15:$F$75,2,FALSE))^(1/12)-1</f>
        <v>2.4662697723036864E-3</v>
      </c>
      <c r="E505" s="4">
        <f t="shared" ca="1" si="99"/>
        <v>3.4577188305853701</v>
      </c>
      <c r="F505" s="8">
        <f t="shared" ca="1" si="100"/>
        <v>122596163.37202203</v>
      </c>
      <c r="G505" s="8">
        <v>10000</v>
      </c>
      <c r="H505" s="8">
        <v>250000</v>
      </c>
      <c r="I505" s="8">
        <v>500000</v>
      </c>
      <c r="J505" s="8">
        <v>750000</v>
      </c>
      <c r="K505" s="8"/>
      <c r="L505" s="4">
        <f ca="1">+IF('ÖNYP kalkulátor'!$C$16="nem",0,
IF(MONTH(A505)=1,VLOOKUP(YEAR(A505),'ÖNYP kalkulátor'!$E$15:$J$75,4),0))</f>
        <v>0</v>
      </c>
      <c r="M505" s="8">
        <f t="shared" ca="1" si="95"/>
        <v>103820.87680595469</v>
      </c>
      <c r="N505" s="8">
        <f t="shared" ca="1" si="96"/>
        <v>34606.958935318224</v>
      </c>
      <c r="O505" s="8">
        <f t="shared" ca="1" si="90"/>
        <v>1522706.1931540018</v>
      </c>
      <c r="P505" s="8">
        <f t="shared" ca="1" si="91"/>
        <v>1485942.6621882319</v>
      </c>
      <c r="Q505" s="8">
        <f t="shared" ca="1" si="92"/>
        <v>137735.69656256679</v>
      </c>
      <c r="R505" s="13">
        <v>150000</v>
      </c>
      <c r="S505" s="13">
        <f ca="1">MIN(IF(AND(MONTH(A505)=5,'ÖNYP kalkulátor'!$IU$6="igen"),(M505+N505)*12/(1+IF('ÖNYP kalkulátor'!$C$16="nem",0,VLOOKUP(YEAR(A505),'ÖNYP kalkulátor'!$E$15:$J$75,4)))*0.2,0),R505)</f>
        <v>0</v>
      </c>
      <c r="T505" s="4">
        <f ca="1">(1+VLOOKUP(YEAR(A505),'ÖNYP kalkulátor'!$E$15:$F$75,2,FALSE)+VLOOKUP(YEAR(A505),'ÖNYP kalkulátor'!$E$15:$I$75,5,FALSE))^(1/12)-1</f>
        <v>4.0741237836483535E-3</v>
      </c>
      <c r="U505" s="8">
        <f t="shared" ca="1" si="87"/>
        <v>500033.09725521703</v>
      </c>
      <c r="V505" s="14">
        <f t="shared" ca="1" si="88"/>
        <v>123233932.16583982</v>
      </c>
      <c r="W505" s="8">
        <f t="shared" ca="1" si="89"/>
        <v>35640240.922937363</v>
      </c>
    </row>
    <row r="506" spans="1:23" x14ac:dyDescent="0.2">
      <c r="A506" s="6">
        <f t="shared" ca="1" si="97"/>
        <v>60967</v>
      </c>
      <c r="B506" s="12">
        <f t="shared" ca="1" si="98"/>
        <v>12</v>
      </c>
      <c r="C506" s="7">
        <f ca="1">(YEAR(A506)-YEAR('ÖNYP kalkulátor'!$C$10))+(MONTH(CF!A506)-MONTH('ÖNYP kalkulátor'!$C$10)-1)/12</f>
        <v>85.5</v>
      </c>
      <c r="D506" s="4">
        <f ca="1">(1+VLOOKUP(YEAR(A506),'ÖNYP kalkulátor'!$E$15:$F$75,2,FALSE))^(1/12)-1</f>
        <v>2.4662697723036864E-3</v>
      </c>
      <c r="E506" s="4">
        <f t="shared" ca="1" si="99"/>
        <v>3.4662464980183683</v>
      </c>
      <c r="F506" s="8">
        <f t="shared" ca="1" si="100"/>
        <v>123233932.16583982</v>
      </c>
      <c r="G506" s="8">
        <v>10000</v>
      </c>
      <c r="H506" s="8">
        <v>250000</v>
      </c>
      <c r="I506" s="8">
        <v>500000</v>
      </c>
      <c r="J506" s="8">
        <v>750000</v>
      </c>
      <c r="K506" s="8"/>
      <c r="L506" s="4">
        <f ca="1">+IF('ÖNYP kalkulátor'!$C$16="nem",0,
IF(MONTH(A506)=1,VLOOKUP(YEAR(A506),'ÖNYP kalkulátor'!$E$15:$J$75,4),0))</f>
        <v>0</v>
      </c>
      <c r="M506" s="8">
        <f t="shared" ca="1" si="95"/>
        <v>103820.87680595469</v>
      </c>
      <c r="N506" s="8">
        <f t="shared" ca="1" si="96"/>
        <v>34606.958935318224</v>
      </c>
      <c r="O506" s="8">
        <f t="shared" ca="1" si="90"/>
        <v>1661134.0288952747</v>
      </c>
      <c r="P506" s="8">
        <f t="shared" ca="1" si="91"/>
        <v>1623678.3587507983</v>
      </c>
      <c r="Q506" s="8">
        <f t="shared" ca="1" si="92"/>
        <v>137735.69656256633</v>
      </c>
      <c r="R506" s="13">
        <v>150000</v>
      </c>
      <c r="S506" s="13">
        <f ca="1">MIN(IF(AND(MONTH(A506)=5,'ÖNYP kalkulátor'!$IU$6="igen"),(M506+N506)*12/(1+IF('ÖNYP kalkulátor'!$C$16="nem",0,VLOOKUP(YEAR(A506),'ÖNYP kalkulátor'!$E$15:$J$75,4)))*0.2,0),R506)</f>
        <v>0</v>
      </c>
      <c r="T506" s="4">
        <f ca="1">(1+VLOOKUP(YEAR(A506),'ÖNYP kalkulátor'!$E$15:$F$75,2,FALSE)+VLOOKUP(YEAR(A506),'ÖNYP kalkulátor'!$E$15:$I$75,5,FALSE))^(1/12)-1</f>
        <v>4.0741237836483535E-3</v>
      </c>
      <c r="U506" s="8">
        <f t="shared" ca="1" si="87"/>
        <v>502631.4462665788</v>
      </c>
      <c r="V506" s="14">
        <f t="shared" ca="1" si="88"/>
        <v>123874299.30866897</v>
      </c>
      <c r="W506" s="8">
        <f t="shared" ca="1" si="89"/>
        <v>35737302.404629081</v>
      </c>
    </row>
    <row r="507" spans="1:23" x14ac:dyDescent="0.2">
      <c r="A507" s="6">
        <f t="shared" ca="1" si="97"/>
        <v>60998</v>
      </c>
      <c r="B507" s="12">
        <f t="shared" ca="1" si="98"/>
        <v>1</v>
      </c>
      <c r="C507" s="7">
        <f ca="1">(YEAR(A507)-YEAR('ÖNYP kalkulátor'!$C$10))+(MONTH(CF!A507)-MONTH('ÖNYP kalkulátor'!$C$10)-1)/12</f>
        <v>85.583333333333329</v>
      </c>
      <c r="D507" s="4">
        <f ca="1">(1+VLOOKUP(YEAR(A507),'ÖNYP kalkulátor'!$E$15:$F$75,2,FALSE))^(1/12)-1</f>
        <v>2.4662697723036864E-3</v>
      </c>
      <c r="E507" s="4">
        <f t="shared" ca="1" si="99"/>
        <v>3.4747951969797843</v>
      </c>
      <c r="F507" s="8">
        <f t="shared" ca="1" si="100"/>
        <v>123874299.30866897</v>
      </c>
      <c r="G507" s="8">
        <v>10000</v>
      </c>
      <c r="H507" s="8">
        <v>250000</v>
      </c>
      <c r="I507" s="8">
        <v>500000</v>
      </c>
      <c r="J507" s="8">
        <v>750000</v>
      </c>
      <c r="K507" s="8"/>
      <c r="L507" s="4">
        <f ca="1">+IF('ÖNYP kalkulátor'!$C$16="nem",0,
IF(MONTH(A507)=1,VLOOKUP(YEAR(A507),'ÖNYP kalkulátor'!$E$15:$J$75,4),0))</f>
        <v>0.03</v>
      </c>
      <c r="M507" s="8">
        <f t="shared" ca="1" si="95"/>
        <v>106935.50311013333</v>
      </c>
      <c r="N507" s="8">
        <f t="shared" ca="1" si="96"/>
        <v>35645.167703377774</v>
      </c>
      <c r="O507" s="8">
        <f t="shared" ca="1" si="90"/>
        <v>142580.6708135111</v>
      </c>
      <c r="P507" s="8">
        <f t="shared" ca="1" si="91"/>
        <v>133625.83056470042</v>
      </c>
      <c r="Q507" s="8">
        <f t="shared" ca="1" si="92"/>
        <v>133625.83056470042</v>
      </c>
      <c r="R507" s="13">
        <v>150000</v>
      </c>
      <c r="S507" s="13">
        <f ca="1">MIN(IF(AND(MONTH(A507)=5,'ÖNYP kalkulátor'!$IU$6="igen"),(M507+N507)*12/(1+IF('ÖNYP kalkulátor'!$C$16="nem",0,VLOOKUP(YEAR(A507),'ÖNYP kalkulátor'!$E$15:$J$75,4)))*0.2,0),R507)</f>
        <v>0</v>
      </c>
      <c r="T507" s="4">
        <f ca="1">(1+VLOOKUP(YEAR(A507),'ÖNYP kalkulátor'!$E$15:$F$75,2,FALSE)+VLOOKUP(YEAR(A507),'ÖNYP kalkulátor'!$E$15:$I$75,5,FALSE))^(1/12)-1</f>
        <v>4.0741237836483535E-3</v>
      </c>
      <c r="U507" s="8">
        <f t="shared" ca="1" si="87"/>
        <v>505223.6371706365</v>
      </c>
      <c r="V507" s="14">
        <f t="shared" ca="1" si="88"/>
        <v>124513148.77640432</v>
      </c>
      <c r="W507" s="8">
        <f t="shared" ca="1" si="89"/>
        <v>35833233.821846083</v>
      </c>
    </row>
    <row r="508" spans="1:23" x14ac:dyDescent="0.2">
      <c r="A508" s="6">
        <f t="shared" ca="1" si="97"/>
        <v>61029</v>
      </c>
      <c r="B508" s="12">
        <f t="shared" ca="1" si="98"/>
        <v>2</v>
      </c>
      <c r="C508" s="7">
        <f ca="1">(YEAR(A508)-YEAR('ÖNYP kalkulátor'!$C$10))+(MONTH(CF!A508)-MONTH('ÖNYP kalkulátor'!$C$10)-1)/12</f>
        <v>85.666666666666671</v>
      </c>
      <c r="D508" s="4">
        <f ca="1">(1+VLOOKUP(YEAR(A508),'ÖNYP kalkulátor'!$E$15:$F$75,2,FALSE))^(1/12)-1</f>
        <v>2.4662697723036864E-3</v>
      </c>
      <c r="E508" s="4">
        <f t="shared" ca="1" si="99"/>
        <v>3.4833649793390418</v>
      </c>
      <c r="F508" s="8">
        <f t="shared" ca="1" si="100"/>
        <v>124513148.77640432</v>
      </c>
      <c r="G508" s="8">
        <v>10000</v>
      </c>
      <c r="H508" s="8">
        <v>250000</v>
      </c>
      <c r="I508" s="8">
        <v>500000</v>
      </c>
      <c r="J508" s="8">
        <v>750000</v>
      </c>
      <c r="K508" s="8"/>
      <c r="L508" s="4">
        <f ca="1">+IF('ÖNYP kalkulátor'!$C$16="nem",0,
IF(MONTH(A508)=1,VLOOKUP(YEAR(A508),'ÖNYP kalkulátor'!$E$15:$J$75,4),0))</f>
        <v>0</v>
      </c>
      <c r="M508" s="8">
        <f t="shared" ca="1" si="95"/>
        <v>106935.50311013333</v>
      </c>
      <c r="N508" s="8">
        <f t="shared" ca="1" si="96"/>
        <v>35645.167703377774</v>
      </c>
      <c r="O508" s="8">
        <f t="shared" ca="1" si="90"/>
        <v>285161.34162702219</v>
      </c>
      <c r="P508" s="8">
        <f t="shared" ca="1" si="91"/>
        <v>268003.27454567107</v>
      </c>
      <c r="Q508" s="8">
        <f t="shared" ca="1" si="92"/>
        <v>134377.44398097065</v>
      </c>
      <c r="R508" s="13">
        <v>150000</v>
      </c>
      <c r="S508" s="13">
        <f ca="1">MIN(IF(AND(MONTH(A508)=5,'ÖNYP kalkulátor'!$IU$6="igen"),(M508+N508)*12/(1+IF('ÖNYP kalkulátor'!$C$16="nem",0,VLOOKUP(YEAR(A508),'ÖNYP kalkulátor'!$E$15:$J$75,4)))*0.2,0),R508)</f>
        <v>0</v>
      </c>
      <c r="T508" s="4">
        <f ca="1">(1+VLOOKUP(YEAR(A508),'ÖNYP kalkulátor'!$E$15:$F$75,2,FALSE)+VLOOKUP(YEAR(A508),'ÖNYP kalkulátor'!$E$15:$I$75,5,FALSE))^(1/12)-1</f>
        <v>4.0741237836483535E-3</v>
      </c>
      <c r="U508" s="8">
        <f t="shared" ca="1" si="87"/>
        <v>507829.45114740351</v>
      </c>
      <c r="V508" s="14">
        <f t="shared" ca="1" si="88"/>
        <v>125155355.67153271</v>
      </c>
      <c r="W508" s="8">
        <f t="shared" ca="1" si="89"/>
        <v>35929440.760261811</v>
      </c>
    </row>
    <row r="509" spans="1:23" x14ac:dyDescent="0.2">
      <c r="A509" s="6">
        <f t="shared" ca="1" si="97"/>
        <v>61057</v>
      </c>
      <c r="B509" s="12">
        <f t="shared" ca="1" si="98"/>
        <v>3</v>
      </c>
      <c r="C509" s="7">
        <f ca="1">(YEAR(A509)-YEAR('ÖNYP kalkulátor'!$C$10))+(MONTH(CF!A509)-MONTH('ÖNYP kalkulátor'!$C$10)-1)/12</f>
        <v>85.75</v>
      </c>
      <c r="D509" s="4">
        <f ca="1">(1+VLOOKUP(YEAR(A509),'ÖNYP kalkulátor'!$E$15:$F$75,2,FALSE))^(1/12)-1</f>
        <v>2.4662697723036864E-3</v>
      </c>
      <c r="E509" s="4">
        <f t="shared" ca="1" si="99"/>
        <v>3.491955897093487</v>
      </c>
      <c r="F509" s="8">
        <f t="shared" ca="1" si="100"/>
        <v>125155355.67153271</v>
      </c>
      <c r="G509" s="8">
        <v>10000</v>
      </c>
      <c r="H509" s="8">
        <v>250000</v>
      </c>
      <c r="I509" s="8">
        <v>500000</v>
      </c>
      <c r="J509" s="8">
        <v>750000</v>
      </c>
      <c r="K509" s="8"/>
      <c r="L509" s="4">
        <f ca="1">+IF('ÖNYP kalkulátor'!$C$16="nem",0,
IF(MONTH(A509)=1,VLOOKUP(YEAR(A509),'ÖNYP kalkulátor'!$E$15:$J$75,4),0))</f>
        <v>0</v>
      </c>
      <c r="M509" s="8">
        <f t="shared" ca="1" si="95"/>
        <v>106935.50311013333</v>
      </c>
      <c r="N509" s="8">
        <f t="shared" ca="1" si="96"/>
        <v>35645.167703377774</v>
      </c>
      <c r="O509" s="8">
        <f t="shared" ca="1" si="90"/>
        <v>427742.01244053332</v>
      </c>
      <c r="P509" s="8">
        <f t="shared" ca="1" si="91"/>
        <v>403454.91181850666</v>
      </c>
      <c r="Q509" s="8">
        <f t="shared" ca="1" si="92"/>
        <v>135451.63727283559</v>
      </c>
      <c r="R509" s="13">
        <v>150000</v>
      </c>
      <c r="S509" s="13">
        <f ca="1">MIN(IF(AND(MONTH(A509)=5,'ÖNYP kalkulátor'!$IU$6="igen"),(M509+N509)*12/(1+IF('ÖNYP kalkulátor'!$C$16="nem",0,VLOOKUP(YEAR(A509),'ÖNYP kalkulátor'!$E$15:$J$75,4)))*0.2,0),R509)</f>
        <v>0</v>
      </c>
      <c r="T509" s="4">
        <f ca="1">(1+VLOOKUP(YEAR(A509),'ÖNYP kalkulátor'!$E$15:$F$75,2,FALSE)+VLOOKUP(YEAR(A509),'ÖNYP kalkulátor'!$E$15:$I$75,5,FALSE))^(1/12)-1</f>
        <v>4.0741237836483535E-3</v>
      </c>
      <c r="U509" s="8">
        <f t="shared" ca="1" si="87"/>
        <v>510450.25792930758</v>
      </c>
      <c r="V509" s="14">
        <f t="shared" ca="1" si="88"/>
        <v>125801257.56673485</v>
      </c>
      <c r="W509" s="8">
        <f t="shared" ca="1" si="89"/>
        <v>36026015.583829373</v>
      </c>
    </row>
    <row r="510" spans="1:23" x14ac:dyDescent="0.2">
      <c r="A510" s="6">
        <f t="shared" ca="1" si="97"/>
        <v>61088</v>
      </c>
      <c r="B510" s="12">
        <f t="shared" ca="1" si="98"/>
        <v>4</v>
      </c>
      <c r="C510" s="7">
        <f ca="1">(YEAR(A510)-YEAR('ÖNYP kalkulátor'!$C$10))+(MONTH(CF!A510)-MONTH('ÖNYP kalkulátor'!$C$10)-1)/12</f>
        <v>85.833333333333329</v>
      </c>
      <c r="D510" s="4">
        <f ca="1">(1+VLOOKUP(YEAR(A510),'ÖNYP kalkulátor'!$E$15:$F$75,2,FALSE))^(1/12)-1</f>
        <v>2.4662697723036864E-3</v>
      </c>
      <c r="E510" s="4">
        <f t="shared" ca="1" si="99"/>
        <v>3.500568002368706</v>
      </c>
      <c r="F510" s="8">
        <f t="shared" ca="1" si="100"/>
        <v>125801257.56673485</v>
      </c>
      <c r="G510" s="8">
        <v>10000</v>
      </c>
      <c r="H510" s="8">
        <v>250000</v>
      </c>
      <c r="I510" s="8">
        <v>500000</v>
      </c>
      <c r="J510" s="8">
        <v>750000</v>
      </c>
      <c r="K510" s="8"/>
      <c r="L510" s="4">
        <f ca="1">+IF('ÖNYP kalkulátor'!$C$16="nem",0,
IF(MONTH(A510)=1,VLOOKUP(YEAR(A510),'ÖNYP kalkulátor'!$E$15:$J$75,4),0))</f>
        <v>0</v>
      </c>
      <c r="M510" s="8">
        <f t="shared" ca="1" si="95"/>
        <v>106935.50311013333</v>
      </c>
      <c r="N510" s="8">
        <f t="shared" ca="1" si="96"/>
        <v>35645.167703377774</v>
      </c>
      <c r="O510" s="8">
        <f t="shared" ca="1" si="90"/>
        <v>570322.68325404439</v>
      </c>
      <c r="P510" s="8">
        <f t="shared" ca="1" si="91"/>
        <v>541016.22958896356</v>
      </c>
      <c r="Q510" s="8">
        <f t="shared" ca="1" si="92"/>
        <v>137561.3177704569</v>
      </c>
      <c r="R510" s="13">
        <v>150000</v>
      </c>
      <c r="S510" s="13">
        <f ca="1">MIN(IF(AND(MONTH(A510)=5,'ÖNYP kalkulátor'!$IU$6="igen"),(M510+N510)*12/(1+IF('ÖNYP kalkulátor'!$C$16="nem",0,VLOOKUP(YEAR(A510),'ÖNYP kalkulátor'!$E$15:$J$75,4)))*0.2,0),R510)</f>
        <v>0</v>
      </c>
      <c r="T510" s="4">
        <f ca="1">(1+VLOOKUP(YEAR(A510),'ÖNYP kalkulátor'!$E$15:$F$75,2,FALSE)+VLOOKUP(YEAR(A510),'ÖNYP kalkulátor'!$E$15:$I$75,5,FALSE))^(1/12)-1</f>
        <v>4.0741237836483535E-3</v>
      </c>
      <c r="U510" s="8">
        <f t="shared" ca="1" si="87"/>
        <v>513090.33730194543</v>
      </c>
      <c r="V510" s="14">
        <f t="shared" ca="1" si="88"/>
        <v>126451909.22180724</v>
      </c>
      <c r="W510" s="8">
        <f t="shared" ca="1" si="89"/>
        <v>36123254.607892737</v>
      </c>
    </row>
    <row r="511" spans="1:23" x14ac:dyDescent="0.2">
      <c r="A511" s="6">
        <f t="shared" ca="1" si="97"/>
        <v>61118</v>
      </c>
      <c r="B511" s="12">
        <f t="shared" ca="1" si="98"/>
        <v>5</v>
      </c>
      <c r="C511" s="7">
        <f ca="1">(YEAR(A511)-YEAR('ÖNYP kalkulátor'!$C$10))+(MONTH(CF!A511)-MONTH('ÖNYP kalkulátor'!$C$10)-1)/12</f>
        <v>85.916666666666671</v>
      </c>
      <c r="D511" s="4">
        <f ca="1">(1+VLOOKUP(YEAR(A511),'ÖNYP kalkulátor'!$E$15:$F$75,2,FALSE))^(1/12)-1</f>
        <v>2.4662697723036864E-3</v>
      </c>
      <c r="E511" s="4">
        <f t="shared" ca="1" si="99"/>
        <v>3.5092013474188413</v>
      </c>
      <c r="F511" s="8">
        <f t="shared" ca="1" si="100"/>
        <v>126451909.22180724</v>
      </c>
      <c r="G511" s="8">
        <v>10000</v>
      </c>
      <c r="H511" s="8">
        <v>250000</v>
      </c>
      <c r="I511" s="8">
        <v>500000</v>
      </c>
      <c r="J511" s="8">
        <v>750000</v>
      </c>
      <c r="K511" s="8"/>
      <c r="L511" s="4">
        <f ca="1">+IF('ÖNYP kalkulátor'!$C$16="nem",0,
IF(MONTH(A511)=1,VLOOKUP(YEAR(A511),'ÖNYP kalkulátor'!$E$15:$J$75,4),0))</f>
        <v>0</v>
      </c>
      <c r="M511" s="8">
        <f t="shared" ca="1" si="95"/>
        <v>106935.50311013333</v>
      </c>
      <c r="N511" s="8">
        <f t="shared" ca="1" si="96"/>
        <v>35645.167703377774</v>
      </c>
      <c r="O511" s="8">
        <f t="shared" ca="1" si="90"/>
        <v>712903.35406755551</v>
      </c>
      <c r="P511" s="8">
        <f t="shared" ca="1" si="91"/>
        <v>680745.28698620433</v>
      </c>
      <c r="Q511" s="8">
        <f t="shared" ca="1" si="92"/>
        <v>139729.05739724077</v>
      </c>
      <c r="R511" s="13">
        <v>150000</v>
      </c>
      <c r="S511" s="13">
        <f ca="1">MIN(IF(AND(MONTH(A511)=5,'ÖNYP kalkulátor'!$IU$6="igen"),(M511+N511)*12/(1+IF('ÖNYP kalkulátor'!$C$16="nem",0,VLOOKUP(YEAR(A511),'ÖNYP kalkulátor'!$E$15:$J$75,4)))*0.2,0),R511)</f>
        <v>150000</v>
      </c>
      <c r="T511" s="4">
        <f ca="1">(1+VLOOKUP(YEAR(A511),'ÖNYP kalkulátor'!$E$15:$F$75,2,FALSE)+VLOOKUP(YEAR(A511),'ÖNYP kalkulátor'!$E$15:$I$75,5,FALSE))^(1/12)-1</f>
        <v>4.0741237836483535E-3</v>
      </c>
      <c r="U511" s="8">
        <f t="shared" ca="1" si="87"/>
        <v>516361.12289186358</v>
      </c>
      <c r="V511" s="14">
        <f t="shared" ca="1" si="88"/>
        <v>127257999.40209635</v>
      </c>
      <c r="W511" s="8">
        <f t="shared" ca="1" si="89"/>
        <v>36264091.684479639</v>
      </c>
    </row>
    <row r="512" spans="1:23" x14ac:dyDescent="0.2">
      <c r="A512" s="6">
        <f t="shared" ca="1" si="97"/>
        <v>61149</v>
      </c>
      <c r="B512" s="12">
        <f t="shared" ca="1" si="98"/>
        <v>6</v>
      </c>
      <c r="C512" s="7">
        <f ca="1">(YEAR(A512)-YEAR('ÖNYP kalkulátor'!$C$10))+(MONTH(CF!A512)-MONTH('ÖNYP kalkulátor'!$C$10)-1)/12</f>
        <v>86</v>
      </c>
      <c r="D512" s="4">
        <f ca="1">(1+VLOOKUP(YEAR(A512),'ÖNYP kalkulátor'!$E$15:$F$75,2,FALSE))^(1/12)-1</f>
        <v>2.4662697723036864E-3</v>
      </c>
      <c r="E512" s="4">
        <f t="shared" ca="1" si="99"/>
        <v>3.5178559846269075</v>
      </c>
      <c r="F512" s="8">
        <f t="shared" ca="1" si="100"/>
        <v>127257999.40209635</v>
      </c>
      <c r="G512" s="8">
        <v>10000</v>
      </c>
      <c r="H512" s="8">
        <v>250000</v>
      </c>
      <c r="I512" s="8">
        <v>500000</v>
      </c>
      <c r="J512" s="8">
        <v>750000</v>
      </c>
      <c r="K512" s="8"/>
      <c r="L512" s="4">
        <f ca="1">+IF('ÖNYP kalkulátor'!$C$16="nem",0,
IF(MONTH(A512)=1,VLOOKUP(YEAR(A512),'ÖNYP kalkulátor'!$E$15:$J$75,4),0))</f>
        <v>0</v>
      </c>
      <c r="M512" s="8">
        <f t="shared" ca="1" si="95"/>
        <v>106935.50311013333</v>
      </c>
      <c r="N512" s="8">
        <f t="shared" ca="1" si="96"/>
        <v>35645.167703377774</v>
      </c>
      <c r="O512" s="8">
        <f t="shared" ca="1" si="90"/>
        <v>855484.02488106664</v>
      </c>
      <c r="P512" s="8">
        <f t="shared" ca="1" si="91"/>
        <v>822056.60475666134</v>
      </c>
      <c r="Q512" s="8">
        <f t="shared" ca="1" si="92"/>
        <v>141311.31777045701</v>
      </c>
      <c r="R512" s="13">
        <v>150000</v>
      </c>
      <c r="S512" s="13">
        <f ca="1">MIN(IF(AND(MONTH(A512)=5,'ÖNYP kalkulátor'!$IU$6="igen"),(M512+N512)*12/(1+IF('ÖNYP kalkulátor'!$C$16="nem",0,VLOOKUP(YEAR(A512),'ÖNYP kalkulátor'!$E$15:$J$75,4)))*0.2,0),R512)</f>
        <v>0</v>
      </c>
      <c r="T512" s="4">
        <f ca="1">(1+VLOOKUP(YEAR(A512),'ÖNYP kalkulátor'!$E$15:$F$75,2,FALSE)+VLOOKUP(YEAR(A512),'ÖNYP kalkulátor'!$E$15:$I$75,5,FALSE))^(1/12)-1</f>
        <v>4.0741237836483535E-3</v>
      </c>
      <c r="U512" s="8">
        <f t="shared" ca="1" si="87"/>
        <v>519040.56182421598</v>
      </c>
      <c r="V512" s="14">
        <f t="shared" ca="1" si="88"/>
        <v>127918351.28169101</v>
      </c>
      <c r="W512" s="8">
        <f t="shared" ca="1" si="89"/>
        <v>36362588.986216731</v>
      </c>
    </row>
    <row r="513" spans="1:23" x14ac:dyDescent="0.2">
      <c r="A513" s="6">
        <f t="shared" ca="1" si="97"/>
        <v>61179</v>
      </c>
      <c r="B513" s="12">
        <f t="shared" ca="1" si="98"/>
        <v>7</v>
      </c>
      <c r="C513" s="7">
        <f ca="1">(YEAR(A513)-YEAR('ÖNYP kalkulátor'!$C$10))+(MONTH(CF!A513)-MONTH('ÖNYP kalkulátor'!$C$10)-1)/12</f>
        <v>86.083333333333329</v>
      </c>
      <c r="D513" s="4">
        <f ca="1">(1+VLOOKUP(YEAR(A513),'ÖNYP kalkulátor'!$E$15:$F$75,2,FALSE))^(1/12)-1</f>
        <v>2.4662697723036864E-3</v>
      </c>
      <c r="E513" s="4">
        <f t="shared" ca="1" si="99"/>
        <v>3.5265319665051105</v>
      </c>
      <c r="F513" s="8">
        <f t="shared" ca="1" si="100"/>
        <v>127918351.28169101</v>
      </c>
      <c r="G513" s="8">
        <v>10000</v>
      </c>
      <c r="H513" s="8">
        <v>250000</v>
      </c>
      <c r="I513" s="8">
        <v>500000</v>
      </c>
      <c r="J513" s="8">
        <v>750000</v>
      </c>
      <c r="K513" s="8"/>
      <c r="L513" s="4">
        <f ca="1">+IF('ÖNYP kalkulátor'!$C$16="nem",0,
IF(MONTH(A513)=1,VLOOKUP(YEAR(A513),'ÖNYP kalkulátor'!$E$15:$J$75,4),0))</f>
        <v>0</v>
      </c>
      <c r="M513" s="8">
        <f t="shared" ca="1" si="95"/>
        <v>106935.50311013333</v>
      </c>
      <c r="N513" s="8">
        <f t="shared" ca="1" si="96"/>
        <v>35645.167703377774</v>
      </c>
      <c r="O513" s="8">
        <f t="shared" ca="1" si="90"/>
        <v>998064.69569457776</v>
      </c>
      <c r="P513" s="8">
        <f t="shared" ca="1" si="91"/>
        <v>963924.37221610488</v>
      </c>
      <c r="Q513" s="8">
        <f t="shared" ca="1" si="92"/>
        <v>141867.76745944354</v>
      </c>
      <c r="R513" s="13">
        <v>150000</v>
      </c>
      <c r="S513" s="13">
        <f ca="1">MIN(IF(AND(MONTH(A513)=5,'ÖNYP kalkulátor'!$IU$6="igen"),(M513+N513)*12/(1+IF('ÖNYP kalkulátor'!$C$16="nem",0,VLOOKUP(YEAR(A513),'ÖNYP kalkulátor'!$E$15:$J$75,4)))*0.2,0),R513)</f>
        <v>0</v>
      </c>
      <c r="T513" s="4">
        <f ca="1">(1+VLOOKUP(YEAR(A513),'ÖNYP kalkulátor'!$E$15:$F$75,2,FALSE)+VLOOKUP(YEAR(A513),'ÖNYP kalkulátor'!$E$15:$I$75,5,FALSE))^(1/12)-1</f>
        <v>4.0741237836483535E-3</v>
      </c>
      <c r="U513" s="8">
        <f t="shared" ca="1" si="87"/>
        <v>521733.18416736182</v>
      </c>
      <c r="V513" s="14">
        <f t="shared" ca="1" si="88"/>
        <v>128581952.23331781</v>
      </c>
      <c r="W513" s="8">
        <f t="shared" ca="1" si="89"/>
        <v>36461303.471678451</v>
      </c>
    </row>
    <row r="514" spans="1:23" x14ac:dyDescent="0.2">
      <c r="A514" s="6">
        <f t="shared" ca="1" si="97"/>
        <v>61210</v>
      </c>
      <c r="B514" s="12">
        <f t="shared" ca="1" si="98"/>
        <v>8</v>
      </c>
      <c r="C514" s="7">
        <f ca="1">(YEAR(A514)-YEAR('ÖNYP kalkulátor'!$C$10))+(MONTH(CF!A514)-MONTH('ÖNYP kalkulátor'!$C$10)-1)/12</f>
        <v>86.166666666666671</v>
      </c>
      <c r="D514" s="4">
        <f ca="1">(1+VLOOKUP(YEAR(A514),'ÖNYP kalkulátor'!$E$15:$F$75,2,FALSE))^(1/12)-1</f>
        <v>2.4662697723036864E-3</v>
      </c>
      <c r="E514" s="4">
        <f t="shared" ca="1" si="99"/>
        <v>3.5352293456951647</v>
      </c>
      <c r="F514" s="8">
        <f t="shared" ca="1" si="100"/>
        <v>128581952.23331781</v>
      </c>
      <c r="G514" s="8">
        <v>10000</v>
      </c>
      <c r="H514" s="8">
        <v>250000</v>
      </c>
      <c r="I514" s="8">
        <v>500000</v>
      </c>
      <c r="J514" s="8">
        <v>750000</v>
      </c>
      <c r="K514" s="8"/>
      <c r="L514" s="4">
        <f ca="1">+IF('ÖNYP kalkulátor'!$C$16="nem",0,
IF(MONTH(A514)=1,VLOOKUP(YEAR(A514),'ÖNYP kalkulátor'!$E$15:$J$75,4),0))</f>
        <v>0</v>
      </c>
      <c r="M514" s="8">
        <f t="shared" ca="1" si="95"/>
        <v>106935.50311013333</v>
      </c>
      <c r="N514" s="8">
        <f t="shared" ca="1" si="96"/>
        <v>35645.167703377774</v>
      </c>
      <c r="O514" s="8">
        <f t="shared" ca="1" si="90"/>
        <v>1140645.3665080888</v>
      </c>
      <c r="P514" s="8">
        <f t="shared" ca="1" si="91"/>
        <v>1105792.1396755483</v>
      </c>
      <c r="Q514" s="8">
        <f t="shared" ca="1" si="92"/>
        <v>141867.76745944342</v>
      </c>
      <c r="R514" s="13">
        <v>150000</v>
      </c>
      <c r="S514" s="13">
        <f ca="1">MIN(IF(AND(MONTH(A514)=5,'ÖNYP kalkulátor'!$IU$6="igen"),(M514+N514)*12/(1+IF('ÖNYP kalkulátor'!$C$16="nem",0,VLOOKUP(YEAR(A514),'ÖNYP kalkulátor'!$E$15:$J$75,4)))*0.2,0),R514)</f>
        <v>0</v>
      </c>
      <c r="T514" s="4">
        <f ca="1">(1+VLOOKUP(YEAR(A514),'ÖNYP kalkulátor'!$E$15:$F$75,2,FALSE)+VLOOKUP(YEAR(A514),'ÖNYP kalkulátor'!$E$15:$I$75,5,FALSE))^(1/12)-1</f>
        <v>4.0741237836483535E-3</v>
      </c>
      <c r="U514" s="8">
        <f t="shared" ref="U514:U531" ca="1" si="101">+(F514+Q514+S514)*T514</f>
        <v>524436.77658723621</v>
      </c>
      <c r="V514" s="14">
        <f t="shared" ref="V514:V531" ca="1" si="102">+F514+Q514+S514+U514</f>
        <v>129248256.77736448</v>
      </c>
      <c r="W514" s="8">
        <f t="shared" ref="W514:W531" ca="1" si="103">+V514/E514</f>
        <v>36560076.911205091</v>
      </c>
    </row>
    <row r="515" spans="1:23" x14ac:dyDescent="0.2">
      <c r="A515" s="6">
        <f t="shared" ca="1" si="97"/>
        <v>61241</v>
      </c>
      <c r="B515" s="12">
        <f t="shared" ca="1" si="98"/>
        <v>9</v>
      </c>
      <c r="C515" s="7">
        <f ca="1">(YEAR(A515)-YEAR('ÖNYP kalkulátor'!$C$10))+(MONTH(CF!A515)-MONTH('ÖNYP kalkulátor'!$C$10)-1)/12</f>
        <v>86.25</v>
      </c>
      <c r="D515" s="4">
        <f ca="1">(1+VLOOKUP(YEAR(A515),'ÖNYP kalkulátor'!$E$15:$F$75,2,FALSE))^(1/12)-1</f>
        <v>2.4662697723036864E-3</v>
      </c>
      <c r="E515" s="4">
        <f t="shared" ca="1" si="99"/>
        <v>3.5439481749686137</v>
      </c>
      <c r="F515" s="8">
        <f t="shared" ca="1" si="100"/>
        <v>129248256.77736448</v>
      </c>
      <c r="G515" s="8">
        <v>10000</v>
      </c>
      <c r="H515" s="8">
        <v>250000</v>
      </c>
      <c r="I515" s="8">
        <v>500000</v>
      </c>
      <c r="J515" s="8">
        <v>750000</v>
      </c>
      <c r="K515" s="8"/>
      <c r="L515" s="4">
        <f ca="1">+IF('ÖNYP kalkulátor'!$C$16="nem",0,
IF(MONTH(A515)=1,VLOOKUP(YEAR(A515),'ÖNYP kalkulátor'!$E$15:$J$75,4),0))</f>
        <v>0</v>
      </c>
      <c r="M515" s="8">
        <f t="shared" ca="1" si="95"/>
        <v>106935.50311013333</v>
      </c>
      <c r="N515" s="8">
        <f t="shared" ca="1" si="96"/>
        <v>35645.167703377774</v>
      </c>
      <c r="O515" s="8">
        <f t="shared" ref="O515:O531" ca="1" si="104">IF(YEAR(A515)=YEAR(A514),O514+M515+N515,M515+N515)</f>
        <v>1283226.0373215999</v>
      </c>
      <c r="P515" s="8">
        <f t="shared" ref="P515:P531" ca="1" si="105">IF(O515&lt;G515,O515*$G$1,0)
+IF(AND(O515&lt;H515,O515&gt;=G515),G515*$G$1+(O515-G515)*$H$1,0)
+IF(AND(O515&lt;I515,O515&gt;=H515),G515*$G$1+(H515-G515)*$H$1+(O515-H515)*$I$1,0)
+IF(AND(O515&lt;J515,O515&gt;=I515),G515*$G$1+(H515-G515)*$H$1+(I515-H515)*$I$1+(O515-I515)*$J$1,0)
+IF(AND(O515&gt;=J515),G515*$G$1+(H515-G515)*$H$1+(I515-H515)*$I$1+(J515-I515)*$J$1+(O515-J515)*$K$1,0)</f>
        <v>1247659.9071349921</v>
      </c>
      <c r="Q515" s="8">
        <f t="shared" ref="Q515:Q531" ca="1" si="106">IF(YEAR(A515)=YEAR(A514),P515-P514,P515)</f>
        <v>141867.76745944377</v>
      </c>
      <c r="R515" s="13">
        <v>150000</v>
      </c>
      <c r="S515" s="13">
        <f ca="1">MIN(IF(AND(MONTH(A515)=5,'ÖNYP kalkulátor'!$IU$6="igen"),(M515+N515)*12/(1+IF('ÖNYP kalkulátor'!$C$16="nem",0,VLOOKUP(YEAR(A515),'ÖNYP kalkulátor'!$E$15:$J$75,4)))*0.2,0),R515)</f>
        <v>0</v>
      </c>
      <c r="T515" s="4">
        <f ca="1">(1+VLOOKUP(YEAR(A515),'ÖNYP kalkulátor'!$E$15:$F$75,2,FALSE)+VLOOKUP(YEAR(A515),'ÖNYP kalkulátor'!$E$15:$I$75,5,FALSE))^(1/12)-1</f>
        <v>4.0741237836483535E-3</v>
      </c>
      <c r="U515" s="8">
        <f t="shared" ca="1" si="101"/>
        <v>527151.38377728965</v>
      </c>
      <c r="V515" s="14">
        <f t="shared" ca="1" si="102"/>
        <v>129917275.92860121</v>
      </c>
      <c r="W515" s="8">
        <f t="shared" ca="1" si="103"/>
        <v>36658909.643832982</v>
      </c>
    </row>
    <row r="516" spans="1:23" x14ac:dyDescent="0.2">
      <c r="A516" s="6">
        <f t="shared" ca="1" si="97"/>
        <v>61271</v>
      </c>
      <c r="B516" s="12">
        <f t="shared" ca="1" si="98"/>
        <v>10</v>
      </c>
      <c r="C516" s="7">
        <f ca="1">(YEAR(A516)-YEAR('ÖNYP kalkulátor'!$C$10))+(MONTH(CF!A516)-MONTH('ÖNYP kalkulátor'!$C$10)-1)/12</f>
        <v>86.333333333333329</v>
      </c>
      <c r="D516" s="4">
        <f ca="1">(1+VLOOKUP(YEAR(A516),'ÖNYP kalkulátor'!$E$15:$F$75,2,FALSE))^(1/12)-1</f>
        <v>2.4662697723036864E-3</v>
      </c>
      <c r="E516" s="4">
        <f t="shared" ca="1" si="99"/>
        <v>3.5526885072271495</v>
      </c>
      <c r="F516" s="8">
        <f t="shared" ca="1" si="100"/>
        <v>129917275.92860121</v>
      </c>
      <c r="G516" s="8">
        <v>10000</v>
      </c>
      <c r="H516" s="8">
        <v>250000</v>
      </c>
      <c r="I516" s="8">
        <v>500000</v>
      </c>
      <c r="J516" s="8">
        <v>750000</v>
      </c>
      <c r="K516" s="8"/>
      <c r="L516" s="4">
        <f ca="1">+IF('ÖNYP kalkulátor'!$C$16="nem",0,
IF(MONTH(A516)=1,VLOOKUP(YEAR(A516),'ÖNYP kalkulátor'!$E$15:$J$75,4),0))</f>
        <v>0</v>
      </c>
      <c r="M516" s="8">
        <f t="shared" ref="M516:M531" ca="1" si="107">M515*(1+L516)</f>
        <v>106935.50311013333</v>
      </c>
      <c r="N516" s="8">
        <f t="shared" ref="N516:N531" ca="1" si="108">N515*(1+L516)</f>
        <v>35645.167703377774</v>
      </c>
      <c r="O516" s="8">
        <f t="shared" ca="1" si="104"/>
        <v>1425806.708135111</v>
      </c>
      <c r="P516" s="8">
        <f t="shared" ca="1" si="105"/>
        <v>1389527.6745944354</v>
      </c>
      <c r="Q516" s="8">
        <f t="shared" ca="1" si="106"/>
        <v>141867.7674594433</v>
      </c>
      <c r="R516" s="13">
        <v>150000</v>
      </c>
      <c r="S516" s="13">
        <f ca="1">MIN(IF(AND(MONTH(A516)=5,'ÖNYP kalkulátor'!$IU$6="igen"),(M516+N516)*12/(1+IF('ÖNYP kalkulátor'!$C$16="nem",0,VLOOKUP(YEAR(A516),'ÖNYP kalkulátor'!$E$15:$J$75,4)))*0.2,0),R516)</f>
        <v>0</v>
      </c>
      <c r="T516" s="4">
        <f ca="1">(1+VLOOKUP(YEAR(A516),'ÖNYP kalkulátor'!$E$15:$F$75,2,FALSE)+VLOOKUP(YEAR(A516),'ÖNYP kalkulátor'!$E$15:$I$75,5,FALSE))^(1/12)-1</f>
        <v>4.0741237836483535E-3</v>
      </c>
      <c r="U516" s="8">
        <f t="shared" ca="1" si="101"/>
        <v>529877.05061305943</v>
      </c>
      <c r="V516" s="14">
        <f t="shared" ca="1" si="102"/>
        <v>130589020.7466737</v>
      </c>
      <c r="W516" s="8">
        <f t="shared" ca="1" si="103"/>
        <v>36757802.008540735</v>
      </c>
    </row>
    <row r="517" spans="1:23" x14ac:dyDescent="0.2">
      <c r="A517" s="6">
        <f t="shared" ca="1" si="97"/>
        <v>61302</v>
      </c>
      <c r="B517" s="12">
        <f t="shared" ca="1" si="98"/>
        <v>11</v>
      </c>
      <c r="C517" s="7">
        <f ca="1">(YEAR(A517)-YEAR('ÖNYP kalkulátor'!$C$10))+(MONTH(CF!A517)-MONTH('ÖNYP kalkulátor'!$C$10)-1)/12</f>
        <v>86.416666666666671</v>
      </c>
      <c r="D517" s="4">
        <f ca="1">(1+VLOOKUP(YEAR(A517),'ÖNYP kalkulátor'!$E$15:$F$75,2,FALSE))^(1/12)-1</f>
        <v>2.4662697723036864E-3</v>
      </c>
      <c r="E517" s="4">
        <f t="shared" ca="1" si="99"/>
        <v>3.5614503955029346</v>
      </c>
      <c r="F517" s="8">
        <f t="shared" ca="1" si="100"/>
        <v>130589020.7466737</v>
      </c>
      <c r="G517" s="8">
        <v>10000</v>
      </c>
      <c r="H517" s="8">
        <v>250000</v>
      </c>
      <c r="I517" s="8">
        <v>500000</v>
      </c>
      <c r="J517" s="8">
        <v>750000</v>
      </c>
      <c r="K517" s="8"/>
      <c r="L517" s="4">
        <f ca="1">+IF('ÖNYP kalkulátor'!$C$16="nem",0,
IF(MONTH(A517)=1,VLOOKUP(YEAR(A517),'ÖNYP kalkulátor'!$E$15:$J$75,4),0))</f>
        <v>0</v>
      </c>
      <c r="M517" s="8">
        <f t="shared" ca="1" si="107"/>
        <v>106935.50311013333</v>
      </c>
      <c r="N517" s="8">
        <f t="shared" ca="1" si="108"/>
        <v>35645.167703377774</v>
      </c>
      <c r="O517" s="8">
        <f t="shared" ca="1" si="104"/>
        <v>1568387.3789486222</v>
      </c>
      <c r="P517" s="8">
        <f t="shared" ca="1" si="105"/>
        <v>1531395.4420538791</v>
      </c>
      <c r="Q517" s="8">
        <f t="shared" ca="1" si="106"/>
        <v>141867.76745944377</v>
      </c>
      <c r="R517" s="13">
        <v>150000</v>
      </c>
      <c r="S517" s="13">
        <f ca="1">MIN(IF(AND(MONTH(A517)=5,'ÖNYP kalkulátor'!$IU$6="igen"),(M517+N517)*12/(1+IF('ÖNYP kalkulátor'!$C$16="nem",0,VLOOKUP(YEAR(A517),'ÖNYP kalkulátor'!$E$15:$J$75,4)))*0.2,0),R517)</f>
        <v>0</v>
      </c>
      <c r="T517" s="4">
        <f ca="1">(1+VLOOKUP(YEAR(A517),'ÖNYP kalkulátor'!$E$15:$F$75,2,FALSE)+VLOOKUP(YEAR(A517),'ÖNYP kalkulátor'!$E$15:$I$75,5,FALSE))^(1/12)-1</f>
        <v>4.0741237836483535E-3</v>
      </c>
      <c r="U517" s="8">
        <f t="shared" ca="1" si="101"/>
        <v>532613.82215291122</v>
      </c>
      <c r="V517" s="14">
        <f t="shared" ca="1" si="102"/>
        <v>131263502.33628605</v>
      </c>
      <c r="W517" s="8">
        <f t="shared" ca="1" si="103"/>
        <v>36856754.344250672</v>
      </c>
    </row>
    <row r="518" spans="1:23" x14ac:dyDescent="0.2">
      <c r="A518" s="6">
        <f t="shared" ca="1" si="97"/>
        <v>61332</v>
      </c>
      <c r="B518" s="12">
        <f t="shared" ca="1" si="98"/>
        <v>12</v>
      </c>
      <c r="C518" s="7">
        <f ca="1">(YEAR(A518)-YEAR('ÖNYP kalkulátor'!$C$10))+(MONTH(CF!A518)-MONTH('ÖNYP kalkulátor'!$C$10)-1)/12</f>
        <v>86.5</v>
      </c>
      <c r="D518" s="4">
        <f ca="1">(1+VLOOKUP(YEAR(A518),'ÖNYP kalkulátor'!$E$15:$F$75,2,FALSE))^(1/12)-1</f>
        <v>2.4662697723036864E-3</v>
      </c>
      <c r="E518" s="4">
        <f t="shared" ca="1" si="99"/>
        <v>3.5702338929589224</v>
      </c>
      <c r="F518" s="8">
        <f t="shared" ca="1" si="100"/>
        <v>131263502.33628605</v>
      </c>
      <c r="G518" s="8">
        <v>10000</v>
      </c>
      <c r="H518" s="8">
        <v>250000</v>
      </c>
      <c r="I518" s="8">
        <v>500000</v>
      </c>
      <c r="J518" s="8">
        <v>750000</v>
      </c>
      <c r="K518" s="8"/>
      <c r="L518" s="4">
        <f ca="1">+IF('ÖNYP kalkulátor'!$C$16="nem",0,
IF(MONTH(A518)=1,VLOOKUP(YEAR(A518),'ÖNYP kalkulátor'!$E$15:$J$75,4),0))</f>
        <v>0</v>
      </c>
      <c r="M518" s="8">
        <f t="shared" ca="1" si="107"/>
        <v>106935.50311013333</v>
      </c>
      <c r="N518" s="8">
        <f t="shared" ca="1" si="108"/>
        <v>35645.167703377774</v>
      </c>
      <c r="O518" s="8">
        <f t="shared" ca="1" si="104"/>
        <v>1710968.0497621333</v>
      </c>
      <c r="P518" s="8">
        <f t="shared" ca="1" si="105"/>
        <v>1673263.2095133225</v>
      </c>
      <c r="Q518" s="8">
        <f t="shared" ca="1" si="106"/>
        <v>141867.7674594433</v>
      </c>
      <c r="R518" s="13">
        <v>150000</v>
      </c>
      <c r="S518" s="13">
        <f ca="1">MIN(IF(AND(MONTH(A518)=5,'ÖNYP kalkulátor'!$IU$6="igen"),(M518+N518)*12/(1+IF('ÖNYP kalkulátor'!$C$16="nem",0,VLOOKUP(YEAR(A518),'ÖNYP kalkulátor'!$E$15:$J$75,4)))*0.2,0),R518)</f>
        <v>0</v>
      </c>
      <c r="T518" s="4">
        <f ca="1">(1+VLOOKUP(YEAR(A518),'ÖNYP kalkulátor'!$E$15:$F$75,2,FALSE)+VLOOKUP(YEAR(A518),'ÖNYP kalkulátor'!$E$15:$I$75,5,FALSE))^(1/12)-1</f>
        <v>4.0741237836483535E-3</v>
      </c>
      <c r="U518" s="8">
        <f t="shared" ca="1" si="101"/>
        <v>535361.74363878381</v>
      </c>
      <c r="V518" s="14">
        <f t="shared" ca="1" si="102"/>
        <v>131940731.84738427</v>
      </c>
      <c r="W518" s="8">
        <f t="shared" ca="1" si="103"/>
        <v>36955766.989830188</v>
      </c>
    </row>
    <row r="519" spans="1:23" x14ac:dyDescent="0.2">
      <c r="A519" s="6">
        <f t="shared" ca="1" si="97"/>
        <v>61363</v>
      </c>
      <c r="B519" s="12">
        <f t="shared" ca="1" si="98"/>
        <v>1</v>
      </c>
      <c r="C519" s="7">
        <f ca="1">(YEAR(A519)-YEAR('ÖNYP kalkulátor'!$C$10))+(MONTH(CF!A519)-MONTH('ÖNYP kalkulátor'!$C$10)-1)/12</f>
        <v>86.583333333333329</v>
      </c>
      <c r="D519" s="4">
        <f ca="1">(1+VLOOKUP(YEAR(A519),'ÖNYP kalkulátor'!$E$15:$F$75,2,FALSE))^(1/12)-1</f>
        <v>2.4662697723036864E-3</v>
      </c>
      <c r="E519" s="4">
        <f t="shared" ca="1" si="99"/>
        <v>3.5790390528891809</v>
      </c>
      <c r="F519" s="8">
        <f t="shared" ca="1" si="100"/>
        <v>131940731.84738427</v>
      </c>
      <c r="G519" s="8">
        <v>10000</v>
      </c>
      <c r="H519" s="8">
        <v>250000</v>
      </c>
      <c r="I519" s="8">
        <v>500000</v>
      </c>
      <c r="J519" s="8">
        <v>750000</v>
      </c>
      <c r="K519" s="8"/>
      <c r="L519" s="4">
        <f ca="1">+IF('ÖNYP kalkulátor'!$C$16="nem",0,
IF(MONTH(A519)=1,VLOOKUP(YEAR(A519),'ÖNYP kalkulátor'!$E$15:$J$75,4),0))</f>
        <v>0.03</v>
      </c>
      <c r="M519" s="8">
        <f t="shared" ca="1" si="107"/>
        <v>110143.56820343733</v>
      </c>
      <c r="N519" s="8">
        <f t="shared" ca="1" si="108"/>
        <v>36714.522734479106</v>
      </c>
      <c r="O519" s="8">
        <f t="shared" ca="1" si="104"/>
        <v>146858.09093791642</v>
      </c>
      <c r="P519" s="8">
        <f t="shared" ca="1" si="105"/>
        <v>137646.60548164143</v>
      </c>
      <c r="Q519" s="8">
        <f t="shared" ca="1" si="106"/>
        <v>137646.60548164143</v>
      </c>
      <c r="R519" s="13">
        <v>150000</v>
      </c>
      <c r="S519" s="13">
        <f ca="1">MIN(IF(AND(MONTH(A519)=5,'ÖNYP kalkulátor'!$IU$6="igen"),(M519+N519)*12/(1+IF('ÖNYP kalkulátor'!$C$16="nem",0,VLOOKUP(YEAR(A519),'ÖNYP kalkulátor'!$E$15:$J$75,4)))*0.2,0),R519)</f>
        <v>0</v>
      </c>
      <c r="T519" s="4">
        <f ca="1">(1+VLOOKUP(YEAR(A519),'ÖNYP kalkulátor'!$E$15:$F$75,2,FALSE)+VLOOKUP(YEAR(A519),'ÖNYP kalkulátor'!$E$15:$I$75,5,FALSE))^(1/12)-1</f>
        <v>4.0741237836483535E-3</v>
      </c>
      <c r="U519" s="8">
        <f t="shared" ca="1" si="101"/>
        <v>538103.66296052921</v>
      </c>
      <c r="V519" s="14">
        <f t="shared" ca="1" si="102"/>
        <v>132616482.11582644</v>
      </c>
      <c r="W519" s="8">
        <f t="shared" ca="1" si="103"/>
        <v>37053656.066918783</v>
      </c>
    </row>
    <row r="520" spans="1:23" x14ac:dyDescent="0.2">
      <c r="A520" s="6">
        <f t="shared" ca="1" si="97"/>
        <v>61394</v>
      </c>
      <c r="B520" s="12">
        <f t="shared" ca="1" si="98"/>
        <v>2</v>
      </c>
      <c r="C520" s="7">
        <f ca="1">(YEAR(A520)-YEAR('ÖNYP kalkulátor'!$C$10))+(MONTH(CF!A520)-MONTH('ÖNYP kalkulátor'!$C$10)-1)/12</f>
        <v>86.666666666666671</v>
      </c>
      <c r="D520" s="4">
        <f ca="1">(1+VLOOKUP(YEAR(A520),'ÖNYP kalkulátor'!$E$15:$F$75,2,FALSE))^(1/12)-1</f>
        <v>2.4662697723036864E-3</v>
      </c>
      <c r="E520" s="4">
        <f t="shared" ca="1" si="99"/>
        <v>3.5878659287192161</v>
      </c>
      <c r="F520" s="8">
        <f t="shared" ca="1" si="100"/>
        <v>132616482.11582644</v>
      </c>
      <c r="G520" s="8">
        <v>10000</v>
      </c>
      <c r="H520" s="8">
        <v>250000</v>
      </c>
      <c r="I520" s="8">
        <v>500000</v>
      </c>
      <c r="J520" s="8">
        <v>750000</v>
      </c>
      <c r="K520" s="8"/>
      <c r="L520" s="4">
        <f ca="1">+IF('ÖNYP kalkulátor'!$C$16="nem",0,
IF(MONTH(A520)=1,VLOOKUP(YEAR(A520),'ÖNYP kalkulátor'!$E$15:$J$75,4),0))</f>
        <v>0</v>
      </c>
      <c r="M520" s="8">
        <f t="shared" ca="1" si="107"/>
        <v>110143.56820343733</v>
      </c>
      <c r="N520" s="8">
        <f t="shared" ca="1" si="108"/>
        <v>36714.522734479106</v>
      </c>
      <c r="O520" s="8">
        <f t="shared" ca="1" si="104"/>
        <v>293716.18187583284</v>
      </c>
      <c r="P520" s="8">
        <f t="shared" ca="1" si="105"/>
        <v>276130.3727820412</v>
      </c>
      <c r="Q520" s="8">
        <f t="shared" ca="1" si="106"/>
        <v>138483.76730039978</v>
      </c>
      <c r="R520" s="13">
        <v>150000</v>
      </c>
      <c r="S520" s="13">
        <f ca="1">MIN(IF(AND(MONTH(A520)=5,'ÖNYP kalkulátor'!$IU$6="igen"),(M520+N520)*12/(1+IF('ÖNYP kalkulátor'!$C$16="nem",0,VLOOKUP(YEAR(A520),'ÖNYP kalkulátor'!$E$15:$J$75,4)))*0.2,0),R520)</f>
        <v>0</v>
      </c>
      <c r="T520" s="4">
        <f ca="1">(1+VLOOKUP(YEAR(A520),'ÖNYP kalkulátor'!$E$15:$F$75,2,FALSE)+VLOOKUP(YEAR(A520),'ÖNYP kalkulátor'!$E$15:$I$75,5,FALSE))^(1/12)-1</f>
        <v>4.0741237836483535E-3</v>
      </c>
      <c r="U520" s="8">
        <f t="shared" ca="1" si="101"/>
        <v>540860.16390187282</v>
      </c>
      <c r="V520" s="14">
        <f t="shared" ca="1" si="102"/>
        <v>133295826.04702871</v>
      </c>
      <c r="W520" s="8">
        <f t="shared" ca="1" si="103"/>
        <v>37151841.427534111</v>
      </c>
    </row>
    <row r="521" spans="1:23" x14ac:dyDescent="0.2">
      <c r="A521" s="6">
        <f t="shared" ca="1" si="97"/>
        <v>61423</v>
      </c>
      <c r="B521" s="12">
        <f t="shared" ca="1" si="98"/>
        <v>3</v>
      </c>
      <c r="C521" s="7">
        <f ca="1">(YEAR(A521)-YEAR('ÖNYP kalkulátor'!$C$10))+(MONTH(CF!A521)-MONTH('ÖNYP kalkulátor'!$C$10)-1)/12</f>
        <v>86.75</v>
      </c>
      <c r="D521" s="4">
        <f ca="1">(1+VLOOKUP(YEAR(A521),'ÖNYP kalkulátor'!$E$15:$F$75,2,FALSE))^(1/12)-1</f>
        <v>2.4662697723036864E-3</v>
      </c>
      <c r="E521" s="4">
        <f t="shared" ca="1" si="99"/>
        <v>3.5967145740062945</v>
      </c>
      <c r="F521" s="8">
        <f t="shared" ca="1" si="100"/>
        <v>133295826.04702871</v>
      </c>
      <c r="G521" s="8">
        <v>10000</v>
      </c>
      <c r="H521" s="8">
        <v>250000</v>
      </c>
      <c r="I521" s="8">
        <v>500000</v>
      </c>
      <c r="J521" s="8">
        <v>750000</v>
      </c>
      <c r="K521" s="8"/>
      <c r="L521" s="4">
        <f ca="1">+IF('ÖNYP kalkulátor'!$C$16="nem",0,
IF(MONTH(A521)=1,VLOOKUP(YEAR(A521),'ÖNYP kalkulátor'!$E$15:$J$75,4),0))</f>
        <v>0</v>
      </c>
      <c r="M521" s="8">
        <f t="shared" ca="1" si="107"/>
        <v>110143.56820343733</v>
      </c>
      <c r="N521" s="8">
        <f t="shared" ca="1" si="108"/>
        <v>36714.522734479106</v>
      </c>
      <c r="O521" s="8">
        <f t="shared" ca="1" si="104"/>
        <v>440574.27281374927</v>
      </c>
      <c r="P521" s="8">
        <f t="shared" ca="1" si="105"/>
        <v>415645.5591730618</v>
      </c>
      <c r="Q521" s="8">
        <f t="shared" ca="1" si="106"/>
        <v>139515.1863910206</v>
      </c>
      <c r="R521" s="13">
        <v>150000</v>
      </c>
      <c r="S521" s="13">
        <f ca="1">MIN(IF(AND(MONTH(A521)=5,'ÖNYP kalkulátor'!$IU$6="igen"),(M521+N521)*12/(1+IF('ÖNYP kalkulátor'!$C$16="nem",0,VLOOKUP(YEAR(A521),'ÖNYP kalkulátor'!$E$15:$J$75,4)))*0.2,0),R521)</f>
        <v>0</v>
      </c>
      <c r="T521" s="4">
        <f ca="1">(1+VLOOKUP(YEAR(A521),'ÖNYP kalkulátor'!$E$15:$F$75,2,FALSE)+VLOOKUP(YEAR(A521),'ÖNYP kalkulátor'!$E$15:$I$75,5,FALSE))^(1/12)-1</f>
        <v>4.0741237836483535E-3</v>
      </c>
      <c r="U521" s="8">
        <f t="shared" ca="1" si="101"/>
        <v>543632.09729830921</v>
      </c>
      <c r="V521" s="14">
        <f t="shared" ca="1" si="102"/>
        <v>133978973.33071804</v>
      </c>
      <c r="W521" s="8">
        <f t="shared" ca="1" si="103"/>
        <v>37250376.857533641</v>
      </c>
    </row>
    <row r="522" spans="1:23" x14ac:dyDescent="0.2">
      <c r="A522" s="6">
        <f t="shared" ca="1" si="97"/>
        <v>61454</v>
      </c>
      <c r="B522" s="12">
        <f t="shared" ca="1" si="98"/>
        <v>4</v>
      </c>
      <c r="C522" s="7">
        <f ca="1">(YEAR(A522)-YEAR('ÖNYP kalkulátor'!$C$10))+(MONTH(CF!A522)-MONTH('ÖNYP kalkulátor'!$C$10)-1)/12</f>
        <v>86.833333333333329</v>
      </c>
      <c r="D522" s="4">
        <f ca="1">(1+VLOOKUP(YEAR(A522),'ÖNYP kalkulátor'!$E$15:$F$75,2,FALSE))^(1/12)-1</f>
        <v>2.4662697723036864E-3</v>
      </c>
      <c r="E522" s="4">
        <f t="shared" ca="1" si="99"/>
        <v>3.6055850424397704</v>
      </c>
      <c r="F522" s="8">
        <f t="shared" ca="1" si="100"/>
        <v>133978973.33071804</v>
      </c>
      <c r="G522" s="8">
        <v>10000</v>
      </c>
      <c r="H522" s="8">
        <v>250000</v>
      </c>
      <c r="I522" s="8">
        <v>500000</v>
      </c>
      <c r="J522" s="8">
        <v>750000</v>
      </c>
      <c r="K522" s="8"/>
      <c r="L522" s="4">
        <f ca="1">+IF('ÖNYP kalkulátor'!$C$16="nem",0,
IF(MONTH(A522)=1,VLOOKUP(YEAR(A522),'ÖNYP kalkulátor'!$E$15:$J$75,4),0))</f>
        <v>0</v>
      </c>
      <c r="M522" s="8">
        <f t="shared" ca="1" si="107"/>
        <v>110143.56820343733</v>
      </c>
      <c r="N522" s="8">
        <f t="shared" ca="1" si="108"/>
        <v>36714.522734479106</v>
      </c>
      <c r="O522" s="8">
        <f t="shared" ca="1" si="104"/>
        <v>587432.36375166569</v>
      </c>
      <c r="P522" s="8">
        <f t="shared" ca="1" si="105"/>
        <v>557783.7164766324</v>
      </c>
      <c r="Q522" s="8">
        <f t="shared" ca="1" si="106"/>
        <v>142138.1573035706</v>
      </c>
      <c r="R522" s="13">
        <v>150000</v>
      </c>
      <c r="S522" s="13">
        <f ca="1">MIN(IF(AND(MONTH(A522)=5,'ÖNYP kalkulátor'!$IU$6="igen"),(M522+N522)*12/(1+IF('ÖNYP kalkulátor'!$C$16="nem",0,VLOOKUP(YEAR(A522),'ÖNYP kalkulátor'!$E$15:$J$75,4)))*0.2,0),R522)</f>
        <v>0</v>
      </c>
      <c r="T522" s="4">
        <f ca="1">(1+VLOOKUP(YEAR(A522),'ÖNYP kalkulátor'!$E$15:$F$75,2,FALSE)+VLOOKUP(YEAR(A522),'ÖNYP kalkulátor'!$E$15:$I$75,5,FALSE))^(1/12)-1</f>
        <v>4.0741237836483535E-3</v>
      </c>
      <c r="U522" s="8">
        <f t="shared" ca="1" si="101"/>
        <v>546426.0102027012</v>
      </c>
      <c r="V522" s="14">
        <f t="shared" ca="1" si="102"/>
        <v>134667537.49822432</v>
      </c>
      <c r="W522" s="8">
        <f t="shared" ca="1" si="103"/>
        <v>37349704.94749435</v>
      </c>
    </row>
    <row r="523" spans="1:23" x14ac:dyDescent="0.2">
      <c r="A523" s="6">
        <f t="shared" ca="1" si="97"/>
        <v>61484</v>
      </c>
      <c r="B523" s="12">
        <f t="shared" ca="1" si="98"/>
        <v>5</v>
      </c>
      <c r="C523" s="7">
        <f ca="1">(YEAR(A523)-YEAR('ÖNYP kalkulátor'!$C$10))+(MONTH(CF!A523)-MONTH('ÖNYP kalkulátor'!$C$10)-1)/12</f>
        <v>86.916666666666671</v>
      </c>
      <c r="D523" s="4">
        <f ca="1">(1+VLOOKUP(YEAR(A523),'ÖNYP kalkulátor'!$E$15:$F$75,2,FALSE))^(1/12)-1</f>
        <v>2.4662697723036864E-3</v>
      </c>
      <c r="E523" s="4">
        <f t="shared" ca="1" si="99"/>
        <v>3.61447738784141</v>
      </c>
      <c r="F523" s="8">
        <f t="shared" ca="1" si="100"/>
        <v>134667537.49822432</v>
      </c>
      <c r="G523" s="8">
        <v>10000</v>
      </c>
      <c r="H523" s="8">
        <v>250000</v>
      </c>
      <c r="I523" s="8">
        <v>500000</v>
      </c>
      <c r="J523" s="8">
        <v>750000</v>
      </c>
      <c r="K523" s="8"/>
      <c r="L523" s="4">
        <f ca="1">+IF('ÖNYP kalkulátor'!$C$16="nem",0,
IF(MONTH(A523)=1,VLOOKUP(YEAR(A523),'ÖNYP kalkulátor'!$E$15:$J$75,4),0))</f>
        <v>0</v>
      </c>
      <c r="M523" s="8">
        <f t="shared" ca="1" si="107"/>
        <v>110143.56820343733</v>
      </c>
      <c r="N523" s="8">
        <f t="shared" ca="1" si="108"/>
        <v>36714.522734479106</v>
      </c>
      <c r="O523" s="8">
        <f t="shared" ca="1" si="104"/>
        <v>734290.45468958211</v>
      </c>
      <c r="P523" s="8">
        <f t="shared" ca="1" si="105"/>
        <v>701704.64559579047</v>
      </c>
      <c r="Q523" s="8">
        <f t="shared" ca="1" si="106"/>
        <v>143920.92911915807</v>
      </c>
      <c r="R523" s="13">
        <v>150000</v>
      </c>
      <c r="S523" s="13">
        <f ca="1">MIN(IF(AND(MONTH(A523)=5,'ÖNYP kalkulátor'!$IU$6="igen"),(M523+N523)*12/(1+IF('ÖNYP kalkulátor'!$C$16="nem",0,VLOOKUP(YEAR(A523),'ÖNYP kalkulátor'!$E$15:$J$75,4)))*0.2,0),R523)</f>
        <v>150000</v>
      </c>
      <c r="T523" s="4">
        <f ca="1">(1+VLOOKUP(YEAR(A523),'ÖNYP kalkulátor'!$E$15:$F$75,2,FALSE)+VLOOKUP(YEAR(A523),'ÖNYP kalkulátor'!$E$15:$I$75,5,FALSE))^(1/12)-1</f>
        <v>4.0741237836483535E-3</v>
      </c>
      <c r="U523" s="8">
        <f t="shared" ca="1" si="101"/>
        <v>549849.68765470863</v>
      </c>
      <c r="V523" s="14">
        <f t="shared" ca="1" si="102"/>
        <v>135511308.11499819</v>
      </c>
      <c r="W523" s="8">
        <f t="shared" ca="1" si="103"/>
        <v>37491259.06025558</v>
      </c>
    </row>
    <row r="524" spans="1:23" x14ac:dyDescent="0.2">
      <c r="A524" s="6">
        <f t="shared" ca="1" si="97"/>
        <v>61515</v>
      </c>
      <c r="B524" s="12">
        <f t="shared" ca="1" si="98"/>
        <v>6</v>
      </c>
      <c r="C524" s="7">
        <f ca="1">(YEAR(A524)-YEAR('ÖNYP kalkulátor'!$C$10))+(MONTH(CF!A524)-MONTH('ÖNYP kalkulátor'!$C$10)-1)/12</f>
        <v>87</v>
      </c>
      <c r="D524" s="4">
        <f ca="1">(1+VLOOKUP(YEAR(A524),'ÖNYP kalkulátor'!$E$15:$F$75,2,FALSE))^(1/12)-1</f>
        <v>2.4662697723036864E-3</v>
      </c>
      <c r="E524" s="4">
        <f t="shared" ca="1" si="99"/>
        <v>3.6233916641657187</v>
      </c>
      <c r="F524" s="8">
        <f t="shared" ca="1" si="100"/>
        <v>135511308.11499819</v>
      </c>
      <c r="G524" s="8">
        <v>10000</v>
      </c>
      <c r="H524" s="8">
        <v>250000</v>
      </c>
      <c r="I524" s="8">
        <v>500000</v>
      </c>
      <c r="J524" s="8">
        <v>750000</v>
      </c>
      <c r="K524" s="8"/>
      <c r="L524" s="4">
        <f ca="1">+IF('ÖNYP kalkulátor'!$C$16="nem",0,
IF(MONTH(A524)=1,VLOOKUP(YEAR(A524),'ÖNYP kalkulátor'!$E$15:$J$75,4),0))</f>
        <v>0</v>
      </c>
      <c r="M524" s="8">
        <f t="shared" ca="1" si="107"/>
        <v>110143.56820343733</v>
      </c>
      <c r="N524" s="8">
        <f t="shared" ca="1" si="108"/>
        <v>36714.522734479106</v>
      </c>
      <c r="O524" s="8">
        <f t="shared" ca="1" si="104"/>
        <v>881148.54562749853</v>
      </c>
      <c r="P524" s="8">
        <f t="shared" ca="1" si="105"/>
        <v>847592.80289936101</v>
      </c>
      <c r="Q524" s="8">
        <f t="shared" ca="1" si="106"/>
        <v>145888.15730357054</v>
      </c>
      <c r="R524" s="13">
        <v>150000</v>
      </c>
      <c r="S524" s="13">
        <f ca="1">MIN(IF(AND(MONTH(A524)=5,'ÖNYP kalkulátor'!$IU$6="igen"),(M524+N524)*12/(1+IF('ÖNYP kalkulátor'!$C$16="nem",0,VLOOKUP(YEAR(A524),'ÖNYP kalkulátor'!$E$15:$J$75,4)))*0.2,0),R524)</f>
        <v>0</v>
      </c>
      <c r="T524" s="4">
        <f ca="1">(1+VLOOKUP(YEAR(A524),'ÖNYP kalkulátor'!$E$15:$F$75,2,FALSE)+VLOOKUP(YEAR(A524),'ÖNYP kalkulátor'!$E$15:$I$75,5,FALSE))^(1/12)-1</f>
        <v>4.0741237836483535E-3</v>
      </c>
      <c r="U524" s="8">
        <f t="shared" ca="1" si="101"/>
        <v>552684.20975603734</v>
      </c>
      <c r="V524" s="14">
        <f t="shared" ca="1" si="102"/>
        <v>136209880.48205781</v>
      </c>
      <c r="W524" s="8">
        <f t="shared" ca="1" si="103"/>
        <v>37591818.137998603</v>
      </c>
    </row>
    <row r="525" spans="1:23" x14ac:dyDescent="0.2">
      <c r="A525" s="6">
        <f t="shared" ca="1" si="97"/>
        <v>61545</v>
      </c>
      <c r="B525" s="12">
        <f t="shared" ca="1" si="98"/>
        <v>7</v>
      </c>
      <c r="C525" s="7">
        <f ca="1">(YEAR(A525)-YEAR('ÖNYP kalkulátor'!$C$10))+(MONTH(CF!A525)-MONTH('ÖNYP kalkulátor'!$C$10)-1)/12</f>
        <v>87.083333333333329</v>
      </c>
      <c r="D525" s="4">
        <f ca="1">(1+VLOOKUP(YEAR(A525),'ÖNYP kalkulátor'!$E$15:$F$75,2,FALSE))^(1/12)-1</f>
        <v>2.4662697723036864E-3</v>
      </c>
      <c r="E525" s="4">
        <f t="shared" ca="1" si="99"/>
        <v>3.6323279255002676</v>
      </c>
      <c r="F525" s="8">
        <f t="shared" ca="1" si="100"/>
        <v>136209880.48205781</v>
      </c>
      <c r="G525" s="8">
        <v>10000</v>
      </c>
      <c r="H525" s="8">
        <v>250000</v>
      </c>
      <c r="I525" s="8">
        <v>500000</v>
      </c>
      <c r="J525" s="8">
        <v>750000</v>
      </c>
      <c r="K525" s="8"/>
      <c r="L525" s="4">
        <f ca="1">+IF('ÖNYP kalkulátor'!$C$16="nem",0,
IF(MONTH(A525)=1,VLOOKUP(YEAR(A525),'ÖNYP kalkulátor'!$E$15:$J$75,4),0))</f>
        <v>0</v>
      </c>
      <c r="M525" s="8">
        <f t="shared" ca="1" si="107"/>
        <v>110143.56820343733</v>
      </c>
      <c r="N525" s="8">
        <f t="shared" ca="1" si="108"/>
        <v>36714.522734479106</v>
      </c>
      <c r="O525" s="8">
        <f t="shared" ca="1" si="104"/>
        <v>1028006.636565415</v>
      </c>
      <c r="P525" s="8">
        <f t="shared" ca="1" si="105"/>
        <v>993716.6033825879</v>
      </c>
      <c r="Q525" s="8">
        <f t="shared" ca="1" si="106"/>
        <v>146123.80048322689</v>
      </c>
      <c r="R525" s="13">
        <v>150000</v>
      </c>
      <c r="S525" s="13">
        <f ca="1">MIN(IF(AND(MONTH(A525)=5,'ÖNYP kalkulátor'!$IU$6="igen"),(M525+N525)*12/(1+IF('ÖNYP kalkulátor'!$C$16="nem",0,VLOOKUP(YEAR(A525),'ÖNYP kalkulátor'!$E$15:$J$75,4)))*0.2,0),R525)</f>
        <v>0</v>
      </c>
      <c r="T525" s="4">
        <f ca="1">(1+VLOOKUP(YEAR(A525),'ÖNYP kalkulátor'!$E$15:$F$75,2,FALSE)+VLOOKUP(YEAR(A525),'ÖNYP kalkulátor'!$E$15:$I$75,5,FALSE))^(1/12)-1</f>
        <v>4.0741237836483535E-3</v>
      </c>
      <c r="U525" s="8">
        <f t="shared" ca="1" si="101"/>
        <v>555531.24009075714</v>
      </c>
      <c r="V525" s="14">
        <f t="shared" ca="1" si="102"/>
        <v>136911535.52263179</v>
      </c>
      <c r="W525" s="8">
        <f t="shared" ca="1" si="103"/>
        <v>37692504.182087429</v>
      </c>
    </row>
    <row r="526" spans="1:23" x14ac:dyDescent="0.2">
      <c r="A526" s="6">
        <f t="shared" ca="1" si="97"/>
        <v>61576</v>
      </c>
      <c r="B526" s="12">
        <f t="shared" ca="1" si="98"/>
        <v>8</v>
      </c>
      <c r="C526" s="7">
        <f ca="1">(YEAR(A526)-YEAR('ÖNYP kalkulátor'!$C$10))+(MONTH(CF!A526)-MONTH('ÖNYP kalkulátor'!$C$10)-1)/12</f>
        <v>87.166666666666671</v>
      </c>
      <c r="D526" s="4">
        <f ca="1">(1+VLOOKUP(YEAR(A526),'ÖNYP kalkulátor'!$E$15:$F$75,2,FALSE))^(1/12)-1</f>
        <v>2.4662697723036864E-3</v>
      </c>
      <c r="E526" s="4">
        <f t="shared" ca="1" si="99"/>
        <v>3.6412862260660237</v>
      </c>
      <c r="F526" s="8">
        <f t="shared" ca="1" si="100"/>
        <v>136911535.52263179</v>
      </c>
      <c r="G526" s="8">
        <v>10000</v>
      </c>
      <c r="H526" s="8">
        <v>250000</v>
      </c>
      <c r="I526" s="8">
        <v>500000</v>
      </c>
      <c r="J526" s="8">
        <v>750000</v>
      </c>
      <c r="K526" s="8"/>
      <c r="L526" s="4">
        <f ca="1">+IF('ÖNYP kalkulátor'!$C$16="nem",0,
IF(MONTH(A526)=1,VLOOKUP(YEAR(A526),'ÖNYP kalkulátor'!$E$15:$J$75,4),0))</f>
        <v>0</v>
      </c>
      <c r="M526" s="8">
        <f t="shared" ca="1" si="107"/>
        <v>110143.56820343733</v>
      </c>
      <c r="N526" s="8">
        <f t="shared" ca="1" si="108"/>
        <v>36714.522734479106</v>
      </c>
      <c r="O526" s="8">
        <f t="shared" ca="1" si="104"/>
        <v>1174864.7275033314</v>
      </c>
      <c r="P526" s="8">
        <f t="shared" ca="1" si="105"/>
        <v>1139840.4038658147</v>
      </c>
      <c r="Q526" s="8">
        <f t="shared" ca="1" si="106"/>
        <v>146123.80048322678</v>
      </c>
      <c r="R526" s="13">
        <v>150000</v>
      </c>
      <c r="S526" s="13">
        <f ca="1">MIN(IF(AND(MONTH(A526)=5,'ÖNYP kalkulátor'!$IU$6="igen"),(M526+N526)*12/(1+IF('ÖNYP kalkulátor'!$C$16="nem",0,VLOOKUP(YEAR(A526),'ÖNYP kalkulátor'!$E$15:$J$75,4)))*0.2,0),R526)</f>
        <v>0</v>
      </c>
      <c r="T526" s="4">
        <f ca="1">(1+VLOOKUP(YEAR(A526),'ÖNYP kalkulátor'!$E$15:$F$75,2,FALSE)+VLOOKUP(YEAR(A526),'ÖNYP kalkulátor'!$E$15:$I$75,5,FALSE))^(1/12)-1</f>
        <v>4.0741237836483535E-3</v>
      </c>
      <c r="U526" s="8">
        <f t="shared" ca="1" si="101"/>
        <v>558389.86957947642</v>
      </c>
      <c r="V526" s="14">
        <f t="shared" ca="1" si="102"/>
        <v>137616049.19269449</v>
      </c>
      <c r="W526" s="8">
        <f t="shared" ca="1" si="103"/>
        <v>37793252.342420839</v>
      </c>
    </row>
    <row r="527" spans="1:23" x14ac:dyDescent="0.2">
      <c r="A527" s="6">
        <f t="shared" ca="1" si="97"/>
        <v>61607</v>
      </c>
      <c r="B527" s="12">
        <f t="shared" ca="1" si="98"/>
        <v>9</v>
      </c>
      <c r="C527" s="7">
        <f ca="1">(YEAR(A527)-YEAR('ÖNYP kalkulátor'!$C$10))+(MONTH(CF!A527)-MONTH('ÖNYP kalkulátor'!$C$10)-1)/12</f>
        <v>87.25</v>
      </c>
      <c r="D527" s="4">
        <f ca="1">(1+VLOOKUP(YEAR(A527),'ÖNYP kalkulátor'!$E$15:$F$75,2,FALSE))^(1/12)-1</f>
        <v>2.4662697723036864E-3</v>
      </c>
      <c r="E527" s="4">
        <f t="shared" ca="1" si="99"/>
        <v>3.6502666202176761</v>
      </c>
      <c r="F527" s="8">
        <f t="shared" ca="1" si="100"/>
        <v>137616049.19269449</v>
      </c>
      <c r="G527" s="8">
        <v>10000</v>
      </c>
      <c r="H527" s="8">
        <v>250000</v>
      </c>
      <c r="I527" s="8">
        <v>500000</v>
      </c>
      <c r="J527" s="8">
        <v>750000</v>
      </c>
      <c r="K527" s="8"/>
      <c r="L527" s="4">
        <f ca="1">+IF('ÖNYP kalkulátor'!$C$16="nem",0,
IF(MONTH(A527)=1,VLOOKUP(YEAR(A527),'ÖNYP kalkulátor'!$E$15:$J$75,4),0))</f>
        <v>0</v>
      </c>
      <c r="M527" s="8">
        <f t="shared" ca="1" si="107"/>
        <v>110143.56820343733</v>
      </c>
      <c r="N527" s="8">
        <f t="shared" ca="1" si="108"/>
        <v>36714.522734479106</v>
      </c>
      <c r="O527" s="8">
        <f t="shared" ca="1" si="104"/>
        <v>1321722.8184412478</v>
      </c>
      <c r="P527" s="8">
        <f t="shared" ca="1" si="105"/>
        <v>1285964.2043490415</v>
      </c>
      <c r="Q527" s="8">
        <f t="shared" ca="1" si="106"/>
        <v>146123.80048322678</v>
      </c>
      <c r="R527" s="13">
        <v>150000</v>
      </c>
      <c r="S527" s="13">
        <f ca="1">MIN(IF(AND(MONTH(A527)=5,'ÖNYP kalkulátor'!$IU$6="igen"),(M527+N527)*12/(1+IF('ÖNYP kalkulátor'!$C$16="nem",0,VLOOKUP(YEAR(A527),'ÖNYP kalkulátor'!$E$15:$J$75,4)))*0.2,0),R527)</f>
        <v>0</v>
      </c>
      <c r="T527" s="4">
        <f ca="1">(1+VLOOKUP(YEAR(A527),'ÖNYP kalkulátor'!$E$15:$F$75,2,FALSE)+VLOOKUP(YEAR(A527),'ÖNYP kalkulátor'!$E$15:$I$75,5,FALSE))^(1/12)-1</f>
        <v>4.0741237836483535E-3</v>
      </c>
      <c r="U527" s="8">
        <f t="shared" ca="1" si="101"/>
        <v>561260.14547858422</v>
      </c>
      <c r="V527" s="14">
        <f t="shared" ca="1" si="102"/>
        <v>138323433.13865629</v>
      </c>
      <c r="W527" s="8">
        <f t="shared" ca="1" si="103"/>
        <v>37894062.963106968</v>
      </c>
    </row>
    <row r="528" spans="1:23" x14ac:dyDescent="0.2">
      <c r="A528" s="6">
        <f t="shared" ca="1" si="97"/>
        <v>61637</v>
      </c>
      <c r="B528" s="12">
        <f t="shared" ca="1" si="98"/>
        <v>10</v>
      </c>
      <c r="C528" s="7">
        <f ca="1">(YEAR(A528)-YEAR('ÖNYP kalkulátor'!$C$10))+(MONTH(CF!A528)-MONTH('ÖNYP kalkulátor'!$C$10)-1)/12</f>
        <v>87.333333333333329</v>
      </c>
      <c r="D528" s="4">
        <f ca="1">(1+VLOOKUP(YEAR(A528),'ÖNYP kalkulátor'!$E$15:$F$75,2,FALSE))^(1/12)-1</f>
        <v>2.4662697723036864E-3</v>
      </c>
      <c r="E528" s="4">
        <f t="shared" ca="1" si="99"/>
        <v>3.6592691624439682</v>
      </c>
      <c r="F528" s="8">
        <f t="shared" ca="1" si="100"/>
        <v>138323433.13865629</v>
      </c>
      <c r="G528" s="8">
        <v>10000</v>
      </c>
      <c r="H528" s="8">
        <v>250000</v>
      </c>
      <c r="I528" s="8">
        <v>500000</v>
      </c>
      <c r="J528" s="8">
        <v>750000</v>
      </c>
      <c r="K528" s="8"/>
      <c r="L528" s="4">
        <f ca="1">+IF('ÖNYP kalkulátor'!$C$16="nem",0,
IF(MONTH(A528)=1,VLOOKUP(YEAR(A528),'ÖNYP kalkulátor'!$E$15:$J$75,4),0))</f>
        <v>0</v>
      </c>
      <c r="M528" s="8">
        <f t="shared" ca="1" si="107"/>
        <v>110143.56820343733</v>
      </c>
      <c r="N528" s="8">
        <f t="shared" ca="1" si="108"/>
        <v>36714.522734479106</v>
      </c>
      <c r="O528" s="8">
        <f t="shared" ca="1" si="104"/>
        <v>1468580.9093791642</v>
      </c>
      <c r="P528" s="8">
        <f t="shared" ca="1" si="105"/>
        <v>1432088.0048322682</v>
      </c>
      <c r="Q528" s="8">
        <f t="shared" ca="1" si="106"/>
        <v>146123.80048322678</v>
      </c>
      <c r="R528" s="13">
        <v>150000</v>
      </c>
      <c r="S528" s="13">
        <f ca="1">MIN(IF(AND(MONTH(A528)=5,'ÖNYP kalkulátor'!$IU$6="igen"),(M528+N528)*12/(1+IF('ÖNYP kalkulátor'!$C$16="nem",0,VLOOKUP(YEAR(A528),'ÖNYP kalkulátor'!$E$15:$J$75,4)))*0.2,0),R528)</f>
        <v>0</v>
      </c>
      <c r="T528" s="4">
        <f ca="1">(1+VLOOKUP(YEAR(A528),'ÖNYP kalkulátor'!$E$15:$F$75,2,FALSE)+VLOOKUP(YEAR(A528),'ÖNYP kalkulátor'!$E$15:$I$75,5,FALSE))^(1/12)-1</f>
        <v>4.0741237836483535E-3</v>
      </c>
      <c r="U528" s="8">
        <f t="shared" ca="1" si="101"/>
        <v>564142.11523699819</v>
      </c>
      <c r="V528" s="14">
        <f t="shared" ca="1" si="102"/>
        <v>139033699.05437651</v>
      </c>
      <c r="W528" s="8">
        <f t="shared" ca="1" si="103"/>
        <v>37994936.388204388</v>
      </c>
    </row>
    <row r="529" spans="1:23" x14ac:dyDescent="0.2">
      <c r="A529" s="6">
        <f t="shared" ca="1" si="97"/>
        <v>61668</v>
      </c>
      <c r="B529" s="12">
        <f t="shared" ca="1" si="98"/>
        <v>11</v>
      </c>
      <c r="C529" s="7">
        <f ca="1">(YEAR(A529)-YEAR('ÖNYP kalkulátor'!$C$10))+(MONTH(CF!A529)-MONTH('ÖNYP kalkulátor'!$C$10)-1)/12</f>
        <v>87.416666666666671</v>
      </c>
      <c r="D529" s="4">
        <f ca="1">(1+VLOOKUP(YEAR(A529),'ÖNYP kalkulátor'!$E$15:$F$75,2,FALSE))^(1/12)-1</f>
        <v>2.4662697723036864E-3</v>
      </c>
      <c r="E529" s="4">
        <f t="shared" ca="1" si="99"/>
        <v>3.6682939073680267</v>
      </c>
      <c r="F529" s="8">
        <f t="shared" ca="1" si="100"/>
        <v>139033699.05437651</v>
      </c>
      <c r="G529" s="8">
        <v>10000</v>
      </c>
      <c r="H529" s="8">
        <v>250000</v>
      </c>
      <c r="I529" s="8">
        <v>500000</v>
      </c>
      <c r="J529" s="8">
        <v>750000</v>
      </c>
      <c r="K529" s="8"/>
      <c r="L529" s="4">
        <f ca="1">+IF('ÖNYP kalkulátor'!$C$16="nem",0,
IF(MONTH(A529)=1,VLOOKUP(YEAR(A529),'ÖNYP kalkulátor'!$E$15:$J$75,4),0))</f>
        <v>0</v>
      </c>
      <c r="M529" s="8">
        <f t="shared" ca="1" si="107"/>
        <v>110143.56820343733</v>
      </c>
      <c r="N529" s="8">
        <f t="shared" ca="1" si="108"/>
        <v>36714.522734479106</v>
      </c>
      <c r="O529" s="8">
        <f t="shared" ca="1" si="104"/>
        <v>1615439.0003170806</v>
      </c>
      <c r="P529" s="8">
        <f t="shared" ca="1" si="105"/>
        <v>1578211.8053154952</v>
      </c>
      <c r="Q529" s="8">
        <f t="shared" ca="1" si="106"/>
        <v>146123.80048322701</v>
      </c>
      <c r="R529" s="13">
        <v>150000</v>
      </c>
      <c r="S529" s="13">
        <f ca="1">MIN(IF(AND(MONTH(A529)=5,'ÖNYP kalkulátor'!$IU$6="igen"),(M529+N529)*12/(1+IF('ÖNYP kalkulátor'!$C$16="nem",0,VLOOKUP(YEAR(A529),'ÖNYP kalkulátor'!$E$15:$J$75,4)))*0.2,0),R529)</f>
        <v>0</v>
      </c>
      <c r="T529" s="4">
        <f ca="1">(1+VLOOKUP(YEAR(A529),'ÖNYP kalkulátor'!$E$15:$F$75,2,FALSE)+VLOOKUP(YEAR(A529),'ÖNYP kalkulátor'!$E$15:$I$75,5,FALSE))^(1/12)-1</f>
        <v>4.0741237836483535E-3</v>
      </c>
      <c r="U529" s="8">
        <f t="shared" ca="1" si="101"/>
        <v>567035.82649694872</v>
      </c>
      <c r="V529" s="14">
        <f t="shared" ca="1" si="102"/>
        <v>139746858.6813567</v>
      </c>
      <c r="W529" s="8">
        <f t="shared" ca="1" si="103"/>
        <v>38095872.961723514</v>
      </c>
    </row>
    <row r="530" spans="1:23" x14ac:dyDescent="0.2">
      <c r="A530" s="6">
        <f t="shared" ca="1" si="97"/>
        <v>61698</v>
      </c>
      <c r="B530" s="12">
        <f t="shared" ca="1" si="98"/>
        <v>12</v>
      </c>
      <c r="C530" s="7">
        <f ca="1">(YEAR(A530)-YEAR('ÖNYP kalkulátor'!$C$10))+(MONTH(CF!A530)-MONTH('ÖNYP kalkulátor'!$C$10)-1)/12</f>
        <v>87.5</v>
      </c>
      <c r="D530" s="4">
        <f ca="1">(1+VLOOKUP(YEAR(A530),'ÖNYP kalkulátor'!$E$15:$F$75,2,FALSE))^(1/12)-1</f>
        <v>2.4662697723036864E-3</v>
      </c>
      <c r="E530" s="4">
        <f t="shared" ca="1" si="99"/>
        <v>3.6773409097476941</v>
      </c>
      <c r="F530" s="8">
        <f t="shared" ca="1" si="100"/>
        <v>139746858.6813567</v>
      </c>
      <c r="G530" s="8">
        <v>10000</v>
      </c>
      <c r="H530" s="8">
        <v>250000</v>
      </c>
      <c r="I530" s="8">
        <v>500000</v>
      </c>
      <c r="J530" s="8">
        <v>750000</v>
      </c>
      <c r="K530" s="8"/>
      <c r="L530" s="4">
        <f ca="1">+IF('ÖNYP kalkulátor'!$C$16="nem",0,
IF(MONTH(A530)=1,VLOOKUP(YEAR(A530),'ÖNYP kalkulátor'!$E$15:$J$75,4),0))</f>
        <v>0</v>
      </c>
      <c r="M530" s="8">
        <f t="shared" ca="1" si="107"/>
        <v>110143.56820343733</v>
      </c>
      <c r="N530" s="8">
        <f t="shared" ca="1" si="108"/>
        <v>36714.522734479106</v>
      </c>
      <c r="O530" s="8">
        <f t="shared" ca="1" si="104"/>
        <v>1762297.0912549971</v>
      </c>
      <c r="P530" s="8">
        <f t="shared" ca="1" si="105"/>
        <v>1724335.6057987222</v>
      </c>
      <c r="Q530" s="8">
        <f t="shared" ca="1" si="106"/>
        <v>146123.80048322701</v>
      </c>
      <c r="R530" s="13">
        <v>150000</v>
      </c>
      <c r="S530" s="13">
        <f ca="1">MIN(IF(AND(MONTH(A530)=5,'ÖNYP kalkulátor'!$IU$6="igen"),(M530+N530)*12/(1+IF('ÖNYP kalkulátor'!$C$16="nem",0,VLOOKUP(YEAR(A530),'ÖNYP kalkulátor'!$E$15:$J$75,4)))*0.2,0),R530)</f>
        <v>0</v>
      </c>
      <c r="T530" s="4">
        <f ca="1">(1+VLOOKUP(YEAR(A530),'ÖNYP kalkulátor'!$E$15:$F$75,2,FALSE)+VLOOKUP(YEAR(A530),'ÖNYP kalkulátor'!$E$15:$I$75,5,FALSE))^(1/12)-1</f>
        <v>4.0741237836483535E-3</v>
      </c>
      <c r="U530" s="8">
        <f t="shared" ca="1" si="101"/>
        <v>569941.32709476654</v>
      </c>
      <c r="V530" s="14">
        <f t="shared" ca="1" si="102"/>
        <v>140462923.80893469</v>
      </c>
      <c r="W530" s="8">
        <f t="shared" ca="1" si="103"/>
        <v>38196873.027627997</v>
      </c>
    </row>
    <row r="531" spans="1:23" x14ac:dyDescent="0.2">
      <c r="A531" s="6">
        <f t="shared" ca="1" si="97"/>
        <v>61729</v>
      </c>
      <c r="B531" s="12">
        <f t="shared" ca="1" si="98"/>
        <v>1</v>
      </c>
      <c r="C531" s="7">
        <f ca="1">(YEAR(A531)-YEAR('ÖNYP kalkulátor'!$C$10))+(MONTH(CF!A531)-MONTH('ÖNYP kalkulátor'!$C$10)-1)/12</f>
        <v>87.583333333333329</v>
      </c>
      <c r="D531" s="4">
        <f ca="1">(1+VLOOKUP(YEAR(A531),'ÖNYP kalkulátor'!$E$15:$F$75,2,FALSE))^(1/12)-1</f>
        <v>2.4662697723036864E-3</v>
      </c>
      <c r="E531" s="4">
        <f t="shared" ca="1" si="99"/>
        <v>3.6864102244758605</v>
      </c>
      <c r="F531" s="8">
        <f t="shared" ca="1" si="100"/>
        <v>140462923.80893469</v>
      </c>
      <c r="G531" s="8">
        <v>10000</v>
      </c>
      <c r="H531" s="8">
        <v>250000</v>
      </c>
      <c r="I531" s="8">
        <v>500000</v>
      </c>
      <c r="J531" s="8">
        <v>750000</v>
      </c>
      <c r="K531" s="8"/>
      <c r="L531" s="4">
        <f ca="1">+IF('ÖNYP kalkulátor'!$C$16="nem",0,
IF(MONTH(A531)=1,VLOOKUP(YEAR(A531),'ÖNYP kalkulátor'!$E$15:$J$75,4),0))</f>
        <v>0.03</v>
      </c>
      <c r="M531" s="8">
        <f t="shared" ca="1" si="107"/>
        <v>113447.87524954045</v>
      </c>
      <c r="N531" s="8">
        <f t="shared" ca="1" si="108"/>
        <v>37815.95841651348</v>
      </c>
      <c r="O531" s="8">
        <f t="shared" ca="1" si="104"/>
        <v>151263.83366605392</v>
      </c>
      <c r="P531" s="8">
        <f t="shared" ca="1" si="105"/>
        <v>141788.00364609068</v>
      </c>
      <c r="Q531" s="8">
        <f t="shared" ca="1" si="106"/>
        <v>141788.00364609068</v>
      </c>
      <c r="R531" s="13">
        <v>150000</v>
      </c>
      <c r="S531" s="13">
        <f ca="1">MIN(IF(AND(MONTH(A531)=5,'ÖNYP kalkulátor'!$IU$6="igen"),(M531+N531)*12/(1+IF('ÖNYP kalkulátor'!$C$16="nem",0,VLOOKUP(YEAR(A531),'ÖNYP kalkulátor'!$E$15:$J$75,4)))*0.2,0),R531)</f>
        <v>0</v>
      </c>
      <c r="T531" s="4">
        <f ca="1">(1+VLOOKUP(YEAR(A531),'ÖNYP kalkulátor'!$E$15:$F$75,2,FALSE)+VLOOKUP(YEAR(A531),'ÖNYP kalkulátor'!$E$15:$I$75,5,FALSE))^(1/12)-1</f>
        <v>4.0741237836483535E-3</v>
      </c>
      <c r="U531" s="8">
        <f t="shared" ca="1" si="101"/>
        <v>572841.00048865797</v>
      </c>
      <c r="V531" s="14">
        <f t="shared" ca="1" si="102"/>
        <v>141177552.81306946</v>
      </c>
      <c r="W531" s="8">
        <f t="shared" ca="1" si="103"/>
        <v>38296755.981123157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ÖNYP kalkulátor</vt:lpstr>
      <vt:lpstr>CF</vt:lpstr>
      <vt:lpstr>'ÖNYP kalkulátor'!Nyomtatási_terület</vt:lpstr>
    </vt:vector>
  </TitlesOfParts>
  <Company>ERSTE SPARKASSEN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Kozak</dc:creator>
  <cp:lastModifiedBy>Reka G</cp:lastModifiedBy>
  <cp:lastPrinted>2010-02-16T13:22:41Z</cp:lastPrinted>
  <dcterms:created xsi:type="dcterms:W3CDTF">2010-02-08T15:41:21Z</dcterms:created>
  <dcterms:modified xsi:type="dcterms:W3CDTF">2024-11-30T09:59:52Z</dcterms:modified>
</cp:coreProperties>
</file>